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41765\Dropbox\www\Documents\"/>
    </mc:Choice>
  </mc:AlternateContent>
  <xr:revisionPtr revIDLastSave="0" documentId="13_ncr:1_{76BDCB0A-08C2-4440-9550-6A1E6812B03D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UPS" sheetId="8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0" i="8" l="1"/>
  <c r="E4" i="8"/>
  <c r="G38" i="8"/>
  <c r="B63" i="8"/>
  <c r="K15" i="8"/>
  <c r="K78" i="8"/>
  <c r="J18" i="8"/>
  <c r="I10" i="8"/>
  <c r="L8" i="8"/>
  <c r="K8" i="8" s="1"/>
  <c r="J8" i="8" s="1"/>
  <c r="L7" i="8"/>
  <c r="J7" i="8" s="1"/>
  <c r="H10" i="8"/>
  <c r="A26" i="8"/>
  <c r="A25" i="8"/>
  <c r="A4" i="8" s="1"/>
  <c r="A38" i="8"/>
  <c r="M12" i="8"/>
  <c r="M2" i="8"/>
  <c r="D39" i="8"/>
  <c r="B3" i="8"/>
  <c r="F3" i="8"/>
  <c r="H4" i="8"/>
  <c r="H8" i="8"/>
  <c r="H6" i="8"/>
  <c r="B38" i="8"/>
  <c r="L9" i="8"/>
  <c r="G54" i="8"/>
  <c r="G55" i="8"/>
  <c r="G56" i="8"/>
  <c r="G57" i="8"/>
  <c r="G58" i="8"/>
  <c r="G59" i="8"/>
  <c r="G60" i="8"/>
  <c r="G61" i="8"/>
  <c r="G62" i="8"/>
  <c r="G63" i="8"/>
  <c r="G64" i="8"/>
  <c r="G53" i="8"/>
  <c r="K72" i="8"/>
  <c r="N72" i="8" s="1"/>
  <c r="E40" i="8"/>
  <c r="E41" i="8"/>
  <c r="E42" i="8"/>
  <c r="E44" i="8"/>
  <c r="H2" i="8"/>
  <c r="D18" i="8"/>
  <c r="E18" i="8" s="1"/>
  <c r="G18" i="8" s="1"/>
  <c r="K69" i="8" l="1"/>
  <c r="N69" i="8" l="1"/>
  <c r="D38" i="8"/>
  <c r="E26" i="8"/>
  <c r="F72" i="8" l="1"/>
  <c r="M6" i="8" l="1"/>
  <c r="P72" i="8" l="1"/>
  <c r="K75" i="8" l="1"/>
  <c r="E25" i="8" s="1"/>
  <c r="D12" i="8"/>
  <c r="N78" i="8" l="1"/>
  <c r="E39" i="8" s="1"/>
  <c r="A39" i="8" l="1"/>
  <c r="P69" i="8" l="1"/>
  <c r="F25" i="8" l="1"/>
  <c r="E38" i="8" l="1"/>
  <c r="O19" i="8" l="1"/>
  <c r="M17" i="8"/>
  <c r="L17" i="8"/>
  <c r="L14" i="8" l="1"/>
  <c r="O14" i="8"/>
  <c r="A34" i="8"/>
  <c r="H38" i="8"/>
  <c r="C27" i="8" l="1"/>
  <c r="C28" i="8"/>
  <c r="C30" i="8"/>
  <c r="Q10" i="8" l="1"/>
  <c r="F20" i="8" l="1"/>
  <c r="H42" i="8" l="1"/>
  <c r="H43" i="8"/>
  <c r="H44" i="8"/>
  <c r="B53" i="8"/>
  <c r="B54" i="8"/>
  <c r="B55" i="8"/>
  <c r="B60" i="8"/>
  <c r="B61" i="8"/>
  <c r="B62" i="8"/>
  <c r="B64" i="8"/>
  <c r="H39" i="8" l="1"/>
  <c r="H40" i="8"/>
  <c r="D43" i="8" l="1"/>
  <c r="E43" i="8" s="1"/>
  <c r="E7" i="8" l="1"/>
  <c r="E8" i="8"/>
  <c r="E9" i="8"/>
  <c r="E10" i="8"/>
  <c r="E11" i="8"/>
  <c r="E13" i="8"/>
  <c r="E14" i="8"/>
  <c r="E15" i="8"/>
  <c r="E16" i="8"/>
  <c r="E17" i="8"/>
  <c r="E19" i="8"/>
  <c r="E12" i="8" l="1"/>
  <c r="G52" i="8" l="1"/>
  <c r="G51" i="8"/>
  <c r="G50" i="8"/>
  <c r="H31" i="8"/>
  <c r="F31" i="8"/>
  <c r="H30" i="8"/>
  <c r="F30" i="8"/>
  <c r="H29" i="8"/>
  <c r="F29" i="8"/>
  <c r="H28" i="8"/>
  <c r="F28" i="8"/>
  <c r="H27" i="8"/>
  <c r="F27" i="8"/>
  <c r="G17" i="8"/>
  <c r="G10" i="8"/>
  <c r="G65" i="8" l="1"/>
  <c r="G8" i="8"/>
  <c r="G16" i="8"/>
  <c r="G15" i="8" l="1"/>
  <c r="G19" i="8"/>
  <c r="G7" i="8"/>
  <c r="G14" i="8" l="1"/>
  <c r="G11" i="8" l="1"/>
  <c r="G13" i="8"/>
  <c r="G12" i="8"/>
  <c r="G9" i="8" l="1"/>
  <c r="H25" i="8" l="1"/>
  <c r="O9" i="8" l="1"/>
  <c r="B46" i="8" l="1"/>
  <c r="K16" i="8" l="1"/>
  <c r="E6" i="8" l="1"/>
  <c r="H45" i="8"/>
  <c r="F46" i="8" l="1"/>
  <c r="E20" i="8"/>
  <c r="G6" i="8"/>
  <c r="C4" i="8" l="1"/>
  <c r="G20" i="8"/>
  <c r="F22" i="8" s="1"/>
  <c r="E22" i="8" s="1"/>
  <c r="D3" i="8" l="1"/>
  <c r="D25" i="8" l="1"/>
  <c r="M14" i="8"/>
  <c r="C38" i="8" s="1"/>
  <c r="E65" i="8" l="1"/>
  <c r="C22" i="8"/>
  <c r="B26" i="8" l="1"/>
  <c r="H26" i="8" s="1"/>
  <c r="H32" i="8" s="1"/>
  <c r="M7" i="8"/>
  <c r="M8" i="8" s="1"/>
  <c r="J6" i="8"/>
  <c r="L6" i="8" s="1"/>
  <c r="F26" i="8" l="1"/>
  <c r="F32" i="8" s="1"/>
  <c r="B4" i="8" s="1"/>
  <c r="D4" i="8" s="1"/>
  <c r="G3" i="8"/>
  <c r="M4" i="8"/>
  <c r="J4" i="8"/>
  <c r="C3" i="8" s="1"/>
  <c r="E3" i="8" s="1"/>
  <c r="O8" i="8" s="1"/>
  <c r="F47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41765</author>
    <author>Ks</author>
    <author>Karl Sauter</author>
  </authors>
  <commentList>
    <comment ref="H3" authorId="0" shapeId="0" xr:uid="{0638D3B7-AF93-430F-984D-3D2FBCFFA055}">
      <text>
        <r>
          <rPr>
            <b/>
            <sz val="9"/>
            <color indexed="81"/>
            <rFont val="Segoe UI"/>
            <family val="2"/>
          </rPr>
          <t>Default: 0=2 Batteries</t>
        </r>
        <r>
          <rPr>
            <sz val="9"/>
            <color indexed="81"/>
            <rFont val="Segoe UI"/>
            <family val="2"/>
          </rPr>
          <t xml:space="preserve">
else actual  nos. required</t>
        </r>
      </text>
    </comment>
    <comment ref="M3" authorId="1" shapeId="0" xr:uid="{F1FF4171-16F7-41FA-8D3F-9B25926E18BA}">
      <text>
        <r>
          <rPr>
            <sz val="9"/>
            <color rgb="FF000000"/>
            <rFont val="Arial"/>
            <family val="2"/>
          </rPr>
          <t xml:space="preserve">V
of the </t>
        </r>
        <r>
          <rPr>
            <u/>
            <sz val="9"/>
            <color rgb="FF000000"/>
            <rFont val="Arial"/>
            <family val="2"/>
          </rPr>
          <t>batterie bank</t>
        </r>
        <r>
          <rPr>
            <u/>
            <sz val="9"/>
            <color rgb="FF000000"/>
            <rFont val="Arial"/>
            <family val="2"/>
          </rPr>
          <t xml:space="preserve">
</t>
        </r>
      </text>
    </comment>
    <comment ref="N3" authorId="1" shapeId="0" xr:uid="{D4EE2329-F46D-47B9-8F02-D38EB1A8E10B}">
      <text>
        <r>
          <rPr>
            <sz val="9"/>
            <color rgb="FF000000"/>
            <rFont val="Arial"/>
            <family val="2"/>
          </rPr>
          <t>=</t>
        </r>
        <r>
          <rPr>
            <b/>
            <sz val="9"/>
            <color rgb="FF000000"/>
            <rFont val="Arial"/>
            <family val="2"/>
          </rPr>
          <t xml:space="preserve"> V of cells or batteries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    in serie, row 1</t>
        </r>
      </text>
    </comment>
    <comment ref="O3" authorId="1" shapeId="0" xr:uid="{A52EB238-5BC9-4954-A24B-AADA243B3579}">
      <text>
        <r>
          <rPr>
            <b/>
            <sz val="9"/>
            <color rgb="FF000000"/>
            <rFont val="Arial"/>
            <family val="2"/>
          </rPr>
          <t xml:space="preserve">Cells/Battery
</t>
        </r>
      </text>
    </comment>
    <comment ref="B4" authorId="0" shapeId="0" xr:uid="{15056C7E-7755-41AC-9E0A-51D7E8F139BF}">
      <text>
        <r>
          <rPr>
            <b/>
            <sz val="12"/>
            <color indexed="81"/>
            <rFont val="Segoe UI"/>
            <family val="2"/>
          </rPr>
          <t>price Phase I</t>
        </r>
      </text>
    </comment>
    <comment ref="C4" authorId="0" shapeId="0" xr:uid="{DA0ABD25-E4AF-4538-BF26-A38DD088A805}">
      <text>
        <r>
          <rPr>
            <b/>
            <sz val="12"/>
            <color indexed="81"/>
            <rFont val="Segoe UI"/>
            <family val="2"/>
          </rPr>
          <t>price Phase II</t>
        </r>
      </text>
    </comment>
    <comment ref="D4" authorId="0" shapeId="0" xr:uid="{4DC5724C-08C1-4351-81B0-17B5C563481B}">
      <text>
        <r>
          <rPr>
            <b/>
            <sz val="11"/>
            <color indexed="81"/>
            <rFont val="Segoe UI"/>
            <family val="2"/>
          </rPr>
          <t>Total Cost I &amp; II</t>
        </r>
      </text>
    </comment>
    <comment ref="F4" authorId="0" shapeId="0" xr:uid="{E7E2A941-20C5-436D-AE0F-4653E99F7951}">
      <text>
        <r>
          <rPr>
            <sz val="9"/>
            <color indexed="81"/>
            <rFont val="Segoe UI"/>
            <family val="2"/>
          </rPr>
          <t xml:space="preserve">= % power utilization
        at the time
</t>
        </r>
      </text>
    </comment>
    <comment ref="J4" authorId="2" shapeId="0" xr:uid="{D44DFE09-7AD3-4896-9752-AFAC4BEDB102}">
      <text>
        <r>
          <rPr>
            <b/>
            <sz val="9"/>
            <color indexed="81"/>
            <rFont val="Segoe UI"/>
            <family val="2"/>
          </rPr>
          <t>required
Battery capacity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" authorId="1" shapeId="0" xr:uid="{32D1B821-B6C5-4A9F-AB90-9B65F66F2B34}">
      <text>
        <r>
          <rPr>
            <b/>
            <sz val="9"/>
            <color rgb="FF000000"/>
            <rFont val="Arial"/>
            <family val="2"/>
          </rPr>
          <t xml:space="preserve">Battery
</t>
        </r>
      </text>
    </comment>
    <comment ref="O4" authorId="1" shapeId="0" xr:uid="{5901F682-E5A1-4C59-B871-2005E52FB99C}">
      <text>
        <r>
          <rPr>
            <b/>
            <sz val="9"/>
            <color rgb="FF000000"/>
            <rFont val="Arial"/>
            <family val="2"/>
          </rPr>
          <t>Total cells in b`bank</t>
        </r>
      </text>
    </comment>
    <comment ref="H5" authorId="0" shapeId="0" xr:uid="{4015D40B-F4D2-42A7-A9D1-9C3EC1898245}">
      <text>
        <r>
          <rPr>
            <b/>
            <sz val="9"/>
            <color indexed="81"/>
            <rFont val="Segoe UI"/>
            <family val="2"/>
          </rPr>
          <t xml:space="preserve">Default: 0=90% LiFePo4
</t>
        </r>
        <r>
          <rPr>
            <sz val="9"/>
            <color indexed="81"/>
            <rFont val="Segoe UI"/>
            <family val="2"/>
          </rPr>
          <t xml:space="preserve">Otherwise according to battery type </t>
        </r>
      </text>
    </comment>
    <comment ref="L6" authorId="0" shapeId="0" xr:uid="{F7C3472F-9498-4D44-AB5E-BC4313F51D48}">
      <text>
        <r>
          <rPr>
            <b/>
            <sz val="9"/>
            <color indexed="81"/>
            <rFont val="Segoe UI"/>
            <family val="2"/>
          </rPr>
          <t>Volt System</t>
        </r>
      </text>
    </comment>
    <comment ref="H7" authorId="0" shapeId="0" xr:uid="{19B0E0DA-283A-4B2C-8220-093156E02127}">
      <text>
        <r>
          <rPr>
            <b/>
            <sz val="9"/>
            <color indexed="81"/>
            <rFont val="Segoe UI"/>
            <family val="2"/>
          </rPr>
          <t xml:space="preserve">Eingabe: </t>
        </r>
        <r>
          <rPr>
            <sz val="9"/>
            <color indexed="81"/>
            <rFont val="Segoe UI"/>
            <family val="2"/>
          </rPr>
          <t>eg. 25.5 (%) ..</t>
        </r>
        <r>
          <rPr>
            <b/>
            <sz val="9"/>
            <color indexed="81"/>
            <rFont val="Segoe UI"/>
            <family val="2"/>
          </rPr>
          <t xml:space="preserve">
Default: 0=20.0%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1" shapeId="0" xr:uid="{B8F59253-4339-4793-8812-C80EABB85CF9}">
      <text>
        <r>
          <rPr>
            <b/>
            <sz val="9"/>
            <color rgb="FF000000"/>
            <rFont val="Arial"/>
            <family val="2"/>
          </rPr>
          <t xml:space="preserve">1 = seriel
0= parallel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
</t>
        </r>
      </text>
    </comment>
    <comment ref="O8" authorId="1" shapeId="0" xr:uid="{C3C9D6D0-8BBE-4B58-9DE0-6D485889D5AA}">
      <text>
        <r>
          <rPr>
            <b/>
            <sz val="9"/>
            <color rgb="FF000000"/>
            <rFont val="Arial"/>
            <family val="2"/>
          </rPr>
          <t>hrs.
autonomie</t>
        </r>
      </text>
    </comment>
    <comment ref="H9" authorId="0" shapeId="0" xr:uid="{2F074F9A-34C6-442B-9207-7594C84B7094}">
      <text>
        <r>
          <rPr>
            <b/>
            <sz val="9"/>
            <color indexed="81"/>
            <rFont val="Segoe UI"/>
            <family val="2"/>
          </rPr>
          <t xml:space="preserve">Default: 0=5 panels
</t>
        </r>
        <r>
          <rPr>
            <sz val="9"/>
            <color indexed="81"/>
            <rFont val="Segoe UI"/>
            <family val="2"/>
          </rPr>
          <t xml:space="preserve">Otherwise the nos of actual panels installed
</t>
        </r>
      </text>
    </comment>
    <comment ref="L9" authorId="0" shapeId="0" xr:uid="{1A9AA64E-96F7-4EAF-BC8E-60B68F8B4FB5}">
      <text>
        <r>
          <rPr>
            <b/>
            <sz val="9"/>
            <color indexed="81"/>
            <rFont val="Segoe UI"/>
            <family val="2"/>
          </rPr>
          <t>Batteries / String</t>
        </r>
      </text>
    </comment>
    <comment ref="N9" authorId="0" shapeId="0" xr:uid="{66209811-8D98-4D97-8570-33B06D75DCF6}">
      <text>
        <r>
          <rPr>
            <b/>
            <sz val="9"/>
            <color indexed="81"/>
            <rFont val="Segoe UI"/>
            <family val="2"/>
          </rPr>
          <t>% of Appliances are working simultanous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10" authorId="2" shapeId="0" xr:uid="{1CA8BEF4-253C-48C9-9AB2-243A320BD533}">
      <text>
        <r>
          <rPr>
            <b/>
            <sz val="9"/>
            <color indexed="81"/>
            <rFont val="Segoe UI"/>
            <family val="2"/>
          </rPr>
          <t>cabel cross section
mm2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1" authorId="0" shapeId="0" xr:uid="{A80C2174-77C2-4111-A6F7-C47B5E1D721E}">
      <text>
        <r>
          <rPr>
            <b/>
            <sz val="9"/>
            <color indexed="81"/>
            <rFont val="Segoe UI"/>
            <family val="2"/>
          </rPr>
          <t>Eingabe:</t>
        </r>
        <r>
          <rPr>
            <sz val="9"/>
            <color indexed="81"/>
            <rFont val="Segoe UI"/>
            <family val="2"/>
          </rPr>
          <t xml:space="preserve">  1.0; 1.2; 1.3; …..
</t>
        </r>
        <r>
          <rPr>
            <b/>
            <sz val="10"/>
            <color indexed="81"/>
            <rFont val="Segoe UI"/>
            <family val="2"/>
          </rPr>
          <t>Default:  0 = 1.1</t>
        </r>
      </text>
    </comment>
    <comment ref="J16" authorId="0" shapeId="0" xr:uid="{A3D60D03-CBAD-49B6-B7BD-DB7806F871F5}">
      <text>
        <r>
          <rPr>
            <b/>
            <sz val="9"/>
            <color indexed="81"/>
            <rFont val="Segoe UI"/>
            <family val="2"/>
          </rPr>
          <t>Strings</t>
        </r>
      </text>
    </comment>
    <comment ref="J17" authorId="0" shapeId="0" xr:uid="{B6F599B0-5634-4FD9-9A1E-9B600E7FC2F1}">
      <text>
        <r>
          <rPr>
            <b/>
            <sz val="9"/>
            <color indexed="81"/>
            <rFont val="Segoe UI"/>
            <family val="2"/>
          </rPr>
          <t>0 = Parallel
1 = Seriel</t>
        </r>
      </text>
    </comment>
    <comment ref="F20" authorId="0" shapeId="0" xr:uid="{DA7B88F1-4315-47E9-AA10-D4B34FA350CE}">
      <text>
        <r>
          <rPr>
            <b/>
            <sz val="9"/>
            <color indexed="81"/>
            <rFont val="Segoe UI"/>
            <family val="2"/>
          </rPr>
          <t xml:space="preserve">average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21" authorId="1" shapeId="0" xr:uid="{00000000-0006-0000-0000-000002000000}">
      <text>
        <r>
          <rPr>
            <b/>
            <sz val="9"/>
            <color rgb="FF000000"/>
            <rFont val="Arial"/>
            <family val="2"/>
          </rPr>
          <t xml:space="preserve">at 40°C
</t>
        </r>
      </text>
    </comment>
    <comment ref="E22" authorId="2" shapeId="0" xr:uid="{00000000-0006-0000-0000-000003000000}">
      <text>
        <r>
          <rPr>
            <b/>
            <sz val="9"/>
            <color indexed="81"/>
            <rFont val="Segoe UI"/>
            <family val="2"/>
          </rPr>
          <t xml:space="preserve">total W needed </t>
        </r>
      </text>
    </comment>
    <comment ref="F22" authorId="1" shapeId="0" xr:uid="{00000000-0006-0000-0000-000004000000}">
      <text>
        <r>
          <rPr>
            <b/>
            <sz val="9"/>
            <color rgb="FF000000"/>
            <rFont val="Arial"/>
            <family val="2"/>
          </rPr>
          <t>W required</t>
        </r>
      </text>
    </comment>
    <comment ref="D25" authorId="1" shapeId="0" xr:uid="{00000000-0006-0000-0000-00000B000000}">
      <text>
        <r>
          <rPr>
            <sz val="9"/>
            <color rgb="FF000000"/>
            <rFont val="Arial"/>
            <family val="2"/>
          </rPr>
          <t>Units calc.
1.0 = 100%</t>
        </r>
      </text>
    </comment>
    <comment ref="E38" authorId="0" shapeId="0" xr:uid="{D57A2A6C-E5A8-45DF-BA45-45E5B0136181}">
      <text>
        <r>
          <rPr>
            <b/>
            <sz val="9"/>
            <color indexed="81"/>
            <rFont val="Segoe UI"/>
            <family val="2"/>
          </rPr>
          <t>512..80 panels
198.00 transport</t>
        </r>
      </text>
    </comment>
    <comment ref="A78" authorId="0" shapeId="0" xr:uid="{A8152578-92C7-46A5-A519-BD5EDD950826}">
      <text>
        <r>
          <rPr>
            <b/>
            <sz val="9"/>
            <color indexed="81"/>
            <rFont val="Segoe UI"/>
            <family val="2"/>
          </rPr>
          <t>600.00 Trapezblech
2 x 1.1 m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<sst xmlns="http://schemas.openxmlformats.org/spreadsheetml/2006/main" count="186" uniqueCount="155">
  <si>
    <t>V</t>
  </si>
  <si>
    <t>Watt</t>
  </si>
  <si>
    <t>h</t>
  </si>
  <si>
    <t>Fridge</t>
  </si>
  <si>
    <t>bükert 6213 EV 2/2 Solenoid Valve 24V</t>
  </si>
  <si>
    <t>Tumbler (Dryer)</t>
  </si>
  <si>
    <t>Washing Machine</t>
  </si>
  <si>
    <t>Airconditioners 1.5 HP   (4)</t>
  </si>
  <si>
    <t>Airconditioners 2.0 HP</t>
  </si>
  <si>
    <t>Airconditioners 2.5 HP</t>
  </si>
  <si>
    <t>Deep Freezer</t>
  </si>
  <si>
    <t>Dishwasher</t>
  </si>
  <si>
    <t>Gaggenau kitchen exhaust hood</t>
  </si>
  <si>
    <t>Pressing Iron</t>
  </si>
  <si>
    <t>PHASE I</t>
  </si>
  <si>
    <t>Ah</t>
  </si>
  <si>
    <t>Nos.</t>
  </si>
  <si>
    <t>CHF</t>
  </si>
  <si>
    <t>kg</t>
  </si>
  <si>
    <t>kg total</t>
  </si>
  <si>
    <t>PHASE II</t>
  </si>
  <si>
    <t>Nos</t>
  </si>
  <si>
    <t>TOTAL I &amp; II</t>
  </si>
  <si>
    <t>Wh</t>
  </si>
  <si>
    <t>SAMSUNG M2070X Xpress laserprinter</t>
  </si>
  <si>
    <t>Batteries</t>
  </si>
  <si>
    <t>250A Sicherungs-Automat mit Resetschalter / Aufbauversion</t>
  </si>
  <si>
    <t>Eff. Battery</t>
  </si>
  <si>
    <t>Eff. Inverter</t>
  </si>
  <si>
    <t>Wh/day</t>
  </si>
  <si>
    <t xml:space="preserve">simFactor </t>
  </si>
  <si>
    <t>DoD  %</t>
  </si>
  <si>
    <t>autonomie hrs</t>
  </si>
  <si>
    <r>
      <rPr>
        <b/>
        <sz val="12"/>
        <color theme="0"/>
        <rFont val="Arial"/>
        <family val="2"/>
      </rPr>
      <t>Ah</t>
    </r>
    <r>
      <rPr>
        <sz val="8"/>
        <color theme="0"/>
        <rFont val="Arial"/>
        <family val="2"/>
      </rPr>
      <t>Batt</t>
    </r>
  </si>
  <si>
    <t>Panel &amp; Array Specifications</t>
  </si>
  <si>
    <t>selected</t>
  </si>
  <si>
    <r>
      <t>V</t>
    </r>
    <r>
      <rPr>
        <sz val="8"/>
        <color rgb="FFFFFFFF"/>
        <rFont val="Arial"/>
        <family val="2"/>
      </rPr>
      <t>batt</t>
    </r>
  </si>
  <si>
    <t>Upgrade</t>
  </si>
  <si>
    <t>Strings</t>
  </si>
  <si>
    <r>
      <rPr>
        <b/>
        <sz val="12"/>
        <color theme="0"/>
        <rFont val="Arial"/>
        <family val="2"/>
      </rPr>
      <t>Wh</t>
    </r>
    <r>
      <rPr>
        <b/>
        <sz val="8"/>
        <color theme="0"/>
        <rFont val="Arial"/>
        <family val="2"/>
      </rPr>
      <t>sys</t>
    </r>
  </si>
  <si>
    <t>pcs</t>
  </si>
  <si>
    <t>%sim</t>
  </si>
  <si>
    <t>14.0-14.4</t>
  </si>
  <si>
    <r>
      <rPr>
        <b/>
        <sz val="8"/>
        <color rgb="FF000000"/>
        <rFont val="Calibri"/>
        <family val="2"/>
      </rPr>
      <t>Total</t>
    </r>
    <r>
      <rPr>
        <sz val="8"/>
        <color rgb="FF000000"/>
        <rFont val="Calibri"/>
        <family val="2"/>
      </rPr>
      <t xml:space="preserve"> W/day</t>
    </r>
  </si>
  <si>
    <t>BxHxT</t>
  </si>
  <si>
    <r>
      <t xml:space="preserve">#  1  GARAGE: </t>
    </r>
    <r>
      <rPr>
        <sz val="8"/>
        <color theme="4" tint="-0.499984740745262"/>
        <rFont val="Arial"/>
        <family val="2"/>
      </rPr>
      <t>Door automatic, Ventilator, LED</t>
    </r>
  </si>
  <si>
    <r>
      <t xml:space="preserve">#  5  GUEST II:  </t>
    </r>
    <r>
      <rPr>
        <sz val="8"/>
        <color theme="4" tint="-0.499984740745262"/>
        <rFont val="Arial"/>
        <family val="2"/>
      </rPr>
      <t>TV, Vonado, LED</t>
    </r>
  </si>
  <si>
    <r>
      <t xml:space="preserve">#  7  DINING, </t>
    </r>
    <r>
      <rPr>
        <sz val="8"/>
        <color theme="4" tint="-0.499984740745262"/>
        <rFont val="Arial"/>
        <family val="2"/>
      </rPr>
      <t>Vonado, LED</t>
    </r>
  </si>
  <si>
    <r>
      <t>#  9  PORCH,</t>
    </r>
    <r>
      <rPr>
        <sz val="10"/>
        <color theme="4" tint="-0.499984740745262"/>
        <rFont val="Arial"/>
        <family val="2"/>
      </rPr>
      <t xml:space="preserve"> </t>
    </r>
    <r>
      <rPr>
        <sz val="8"/>
        <color theme="4" tint="-0.499984740745262"/>
        <rFont val="Arial"/>
        <family val="2"/>
      </rPr>
      <t>Ventilator</t>
    </r>
  </si>
  <si>
    <t>W</t>
  </si>
  <si>
    <t>hrs</t>
  </si>
  <si>
    <r>
      <t>kWh</t>
    </r>
    <r>
      <rPr>
        <sz val="8"/>
        <color rgb="FF000000"/>
        <rFont val="Calibri"/>
        <family val="2"/>
      </rPr>
      <t>/Day</t>
    </r>
  </si>
  <si>
    <r>
      <t>Wh</t>
    </r>
    <r>
      <rPr>
        <sz val="8"/>
        <color theme="0"/>
        <rFont val="Calibri"/>
        <family val="2"/>
      </rPr>
      <t>_req</t>
    </r>
  </si>
  <si>
    <r>
      <t>W</t>
    </r>
    <r>
      <rPr>
        <sz val="8"/>
        <color theme="0"/>
        <rFont val="Arial"/>
        <family val="2"/>
      </rPr>
      <t>_array</t>
    </r>
  </si>
  <si>
    <r>
      <t>W</t>
    </r>
    <r>
      <rPr>
        <sz val="8"/>
        <color theme="0"/>
        <rFont val="Arial"/>
        <family val="2"/>
      </rPr>
      <t>_panel</t>
    </r>
  </si>
  <si>
    <t>Offgridtec Charge Regulator to Battery with 30A Fuse</t>
  </si>
  <si>
    <t>V_sys</t>
  </si>
  <si>
    <t>390 x260 x 232</t>
  </si>
  <si>
    <t>m2 Area</t>
  </si>
  <si>
    <t>Eelectrical  Gate Locks and Video</t>
  </si>
  <si>
    <t>Oven, Coffe Machine, Microwave</t>
  </si>
  <si>
    <r>
      <t>V</t>
    </r>
    <r>
      <rPr>
        <sz val="8"/>
        <color rgb="FFFFFFFF"/>
        <rFont val="Arial"/>
        <family val="2"/>
      </rPr>
      <t>sys</t>
    </r>
  </si>
  <si>
    <t>Parameters</t>
  </si>
  <si>
    <t xml:space="preserve"> </t>
  </si>
  <si>
    <t>D</t>
  </si>
  <si>
    <t>%  Solar cover</t>
  </si>
  <si>
    <t>kVA</t>
  </si>
  <si>
    <t>Voc</t>
  </si>
  <si>
    <t xml:space="preserve">MPPT </t>
  </si>
  <si>
    <t>24V</t>
  </si>
  <si>
    <t>Isc</t>
  </si>
  <si>
    <t>Batterie Specifications</t>
  </si>
  <si>
    <t>VocT</t>
  </si>
  <si>
    <t>AC</t>
  </si>
  <si>
    <t>60A</t>
  </si>
  <si>
    <t>120-450</t>
  </si>
  <si>
    <t>Waterproof Circuit Breakers 2x80A; 1x250A</t>
  </si>
  <si>
    <t>Schletter SingleFix-V Montagekit</t>
  </si>
  <si>
    <t>4-all</t>
  </si>
  <si>
    <t>Montagesystem</t>
  </si>
  <si>
    <t>H</t>
  </si>
  <si>
    <t>Ordered</t>
  </si>
  <si>
    <r>
      <t>I</t>
    </r>
    <r>
      <rPr>
        <b/>
        <sz val="8"/>
        <color theme="0"/>
        <rFont val="Arial"/>
        <family val="2"/>
      </rPr>
      <t>sc</t>
    </r>
    <r>
      <rPr>
        <b/>
        <sz val="10"/>
        <color theme="0"/>
        <rFont val="Arial"/>
        <family val="2"/>
      </rPr>
      <t xml:space="preserve"> (A)</t>
    </r>
  </si>
  <si>
    <t>Sun hrs</t>
  </si>
  <si>
    <t>merkasol</t>
  </si>
  <si>
    <t>mm2 / A</t>
  </si>
  <si>
    <t>Width</t>
  </si>
  <si>
    <r>
      <t>W</t>
    </r>
    <r>
      <rPr>
        <sz val="14"/>
        <rFont val="Calibri"/>
        <family val="2"/>
      </rPr>
      <t>_</t>
    </r>
    <r>
      <rPr>
        <b/>
        <sz val="8"/>
        <rFont val="Calibri"/>
        <family val="2"/>
      </rPr>
      <t>req</t>
    </r>
  </si>
  <si>
    <t xml:space="preserve">Kg </t>
  </si>
  <si>
    <t>alma-solarshop</t>
  </si>
  <si>
    <r>
      <t>W</t>
    </r>
    <r>
      <rPr>
        <sz val="8"/>
        <color rgb="FF000000"/>
        <rFont val="Calibri"/>
        <family val="2"/>
      </rPr>
      <t>_array</t>
    </r>
  </si>
  <si>
    <t>amazon.de</t>
  </si>
  <si>
    <r>
      <rPr>
        <b/>
        <sz val="10"/>
        <color theme="0"/>
        <rFont val="Arial"/>
        <family val="2"/>
      </rPr>
      <t>Ah</t>
    </r>
    <r>
      <rPr>
        <sz val="10"/>
        <color theme="0"/>
        <rFont val="Arial"/>
        <family val="2"/>
      </rPr>
      <t>_sys</t>
    </r>
  </si>
  <si>
    <t>Water Pump AL-KO Comfort 5000</t>
  </si>
  <si>
    <t>Solar Kabel 2x10mm2 / 30m</t>
  </si>
  <si>
    <t>Solar Kupplungsstecker / Buchse 10 mm2</t>
  </si>
  <si>
    <t>I'M SOLAR 280P  Polycrystallin</t>
  </si>
  <si>
    <t>100A Sicherungs-Automat mit Resetschalter / Aufbauversion</t>
  </si>
  <si>
    <t>Batteriekabel 34mm² / 2m , red</t>
  </si>
  <si>
    <t>Batteriekabel 34mm² / 2m , black</t>
  </si>
  <si>
    <t>Batteriekabel 34mm² / 0.5m , black</t>
  </si>
  <si>
    <t>MC4 Solar Crimping Tool Kits</t>
  </si>
  <si>
    <t>6 / 15A</t>
  </si>
  <si>
    <t>#12 Water Pump Comfort 5000</t>
  </si>
  <si>
    <t># 11 LED indoor lighting</t>
  </si>
  <si>
    <r>
      <t xml:space="preserve">Components selected      </t>
    </r>
    <r>
      <rPr>
        <b/>
        <sz val="10"/>
        <color theme="4" tint="-0.499984740745262"/>
        <rFont val="Arial"/>
        <family val="2"/>
      </rPr>
      <t xml:space="preserve">Phase II </t>
    </r>
  </si>
  <si>
    <r>
      <t xml:space="preserve">Components selected      </t>
    </r>
    <r>
      <rPr>
        <b/>
        <sz val="10"/>
        <color theme="4" tint="-0.499984740745262"/>
        <rFont val="Arial"/>
        <family val="2"/>
      </rPr>
      <t>Phase I (upgrade)</t>
    </r>
  </si>
  <si>
    <t>#14 Ventilators</t>
  </si>
  <si>
    <t>Planning Excuted April 2021</t>
  </si>
  <si>
    <r>
      <t xml:space="preserve">#  8  LIVING ROOM: </t>
    </r>
    <r>
      <rPr>
        <sz val="8"/>
        <color theme="4" tint="-0.499984740745262"/>
        <rFont val="Arial"/>
        <family val="2"/>
      </rPr>
      <t xml:space="preserve">TV, </t>
    </r>
    <r>
      <rPr>
        <b/>
        <sz val="8"/>
        <color theme="4" tint="-0.499984740745262"/>
        <rFont val="Arial"/>
        <family val="2"/>
      </rPr>
      <t>Sa</t>
    </r>
    <r>
      <rPr>
        <sz val="8"/>
        <color theme="4" tint="-0.499984740745262"/>
        <rFont val="Arial"/>
        <family val="2"/>
      </rPr>
      <t xml:space="preserve">t, LED, Vonado </t>
    </r>
  </si>
  <si>
    <r>
      <t xml:space="preserve">#  4  Master Bedroom / Office: </t>
    </r>
    <r>
      <rPr>
        <sz val="8"/>
        <color theme="4" tint="-0.499984740745262"/>
        <rFont val="Arial"/>
        <family val="2"/>
      </rPr>
      <t xml:space="preserve">TV, </t>
    </r>
    <r>
      <rPr>
        <b/>
        <sz val="8"/>
        <color theme="4" tint="-0.499984740745262"/>
        <rFont val="Arial"/>
        <family val="2"/>
      </rPr>
      <t>CPU</t>
    </r>
    <r>
      <rPr>
        <sz val="8"/>
        <color theme="4" tint="-0.499984740745262"/>
        <rFont val="Arial"/>
        <family val="2"/>
      </rPr>
      <t xml:space="preserve">, Router , LED, Vonado      </t>
    </r>
  </si>
  <si>
    <t>Solar Panels + Installation</t>
  </si>
  <si>
    <r>
      <t>kg</t>
    </r>
    <r>
      <rPr>
        <sz val="8"/>
        <color rgb="FF000000"/>
        <rFont val="Calibri"/>
        <family val="2"/>
      </rPr>
      <t>total</t>
    </r>
  </si>
  <si>
    <t>Panels</t>
  </si>
  <si>
    <r>
      <rPr>
        <b/>
        <i/>
        <sz val="8"/>
        <color rgb="FF000000"/>
        <rFont val="Calibri"/>
        <family val="2"/>
      </rPr>
      <t>Total</t>
    </r>
    <r>
      <rPr>
        <b/>
        <sz val="12"/>
        <color rgb="FF000000"/>
        <rFont val="Calibri"/>
        <family val="2"/>
      </rPr>
      <t xml:space="preserve"> CHF</t>
    </r>
  </si>
  <si>
    <r>
      <t xml:space="preserve">PHASE II     </t>
    </r>
    <r>
      <rPr>
        <b/>
        <sz val="10"/>
        <color rgb="FFFFFFFF"/>
        <rFont val="Arial"/>
        <family val="2"/>
      </rPr>
      <t xml:space="preserve">completed April 2021        </t>
    </r>
  </si>
  <si>
    <t>Default = 0</t>
  </si>
  <si>
    <t>Charge  V</t>
  </si>
  <si>
    <t xml:space="preserve">mm2 / A </t>
  </si>
  <si>
    <r>
      <t xml:space="preserve">25 / 130 </t>
    </r>
    <r>
      <rPr>
        <b/>
        <sz val="8"/>
        <color theme="8" tint="-0.499984740745262"/>
        <rFont val="Arial"/>
        <family val="2"/>
      </rPr>
      <t>A</t>
    </r>
  </si>
  <si>
    <r>
      <t xml:space="preserve"># 10 CONTAINER, Staff:  </t>
    </r>
    <r>
      <rPr>
        <sz val="8"/>
        <color theme="4" tint="-0.499984740745262"/>
        <rFont val="Arial"/>
        <family val="2"/>
      </rPr>
      <t>TV, 3 LED, Ventilator</t>
    </r>
  </si>
  <si>
    <r>
      <t>#  6  KITCHEN</t>
    </r>
    <r>
      <rPr>
        <sz val="10"/>
        <color theme="4" tint="-0.499984740745262"/>
        <rFont val="Arial"/>
        <family val="2"/>
      </rPr>
      <t xml:space="preserve">, </t>
    </r>
    <r>
      <rPr>
        <sz val="8"/>
        <color theme="4" tint="-0.499984740745262"/>
        <rFont val="Arial"/>
        <family val="2"/>
      </rPr>
      <t>STORE &amp; CORRIDOR, Vonado</t>
    </r>
    <r>
      <rPr>
        <b/>
        <sz val="10"/>
        <color theme="4" tint="-0.499984740745262"/>
        <rFont val="Arial"/>
        <family val="2"/>
      </rPr>
      <t>,</t>
    </r>
    <r>
      <rPr>
        <sz val="10"/>
        <color theme="4" tint="-0.499984740745262"/>
        <rFont val="Arial"/>
        <family val="2"/>
      </rPr>
      <t xml:space="preserve"> Mixer, Coffemker, Waterheater,</t>
    </r>
  </si>
  <si>
    <r>
      <t xml:space="preserve">#  3  Guest I: </t>
    </r>
    <r>
      <rPr>
        <sz val="8"/>
        <color theme="4" tint="-0.499984740745262"/>
        <rFont val="Arial"/>
        <family val="2"/>
      </rPr>
      <t>Vonado, LED</t>
    </r>
    <r>
      <rPr>
        <b/>
        <sz val="10"/>
        <color theme="4" tint="-0.499984740745262"/>
        <rFont val="Arial"/>
        <family val="2"/>
      </rPr>
      <t xml:space="preserve">, </t>
    </r>
    <r>
      <rPr>
        <sz val="10"/>
        <color theme="4" tint="-0.499984740745262"/>
        <rFont val="Arial"/>
        <family val="2"/>
      </rPr>
      <t>TV</t>
    </r>
  </si>
  <si>
    <r>
      <t xml:space="preserve">#  2  LED Security Lighting </t>
    </r>
    <r>
      <rPr>
        <sz val="10"/>
        <color theme="4" tint="-0.499984740745262"/>
        <rFont val="Arial"/>
        <family val="2"/>
      </rPr>
      <t>&amp; El. Locks &amp; Video</t>
    </r>
  </si>
  <si>
    <t>ALPHA OUTBACK SPC III 3000-24V</t>
  </si>
  <si>
    <t>Autonomy hrs</t>
  </si>
  <si>
    <t xml:space="preserve">Phase I   2020 - 21                                                               Phase II  2021   </t>
  </si>
  <si>
    <r>
      <t xml:space="preserve">#13 Fridge, </t>
    </r>
    <r>
      <rPr>
        <sz val="10"/>
        <color theme="4" tint="-0.499984740745262"/>
        <rFont val="Arial"/>
        <family val="2"/>
      </rPr>
      <t>Deep Freezer</t>
    </r>
  </si>
  <si>
    <t>Calc. Nos</t>
  </si>
  <si>
    <t>calc. %</t>
  </si>
  <si>
    <r>
      <t>W</t>
    </r>
    <r>
      <rPr>
        <b/>
        <sz val="8"/>
        <color rgb="FFFFFFFF"/>
        <rFont val="Arial"/>
        <family val="2"/>
      </rPr>
      <t>req.</t>
    </r>
  </si>
  <si>
    <t>STATUS</t>
  </si>
  <si>
    <r>
      <t>PHASE I</t>
    </r>
    <r>
      <rPr>
        <b/>
        <sz val="8"/>
        <color rgb="FFFFFFFF"/>
        <rFont val="Arial"/>
        <family val="2"/>
      </rPr>
      <t xml:space="preserve">  Location Accra, Palas Town  N 5.6° W 0.17°</t>
    </r>
    <r>
      <rPr>
        <b/>
        <sz val="14"/>
        <color rgb="FFFFFFFF"/>
        <rFont val="Arial"/>
        <family val="2"/>
      </rPr>
      <t xml:space="preserve">    </t>
    </r>
    <r>
      <rPr>
        <b/>
        <sz val="8"/>
        <color rgb="FFFFFFFF"/>
        <rFont val="Arial"/>
        <family val="2"/>
      </rPr>
      <t xml:space="preserve"> </t>
    </r>
  </si>
  <si>
    <t>(by "Cuckoo")</t>
  </si>
  <si>
    <r>
      <t>Wh</t>
    </r>
    <r>
      <rPr>
        <b/>
        <sz val="8"/>
        <color theme="2" tint="-0.749992370372631"/>
        <rFont val="Arial"/>
        <family val="2"/>
      </rPr>
      <t>_calc</t>
    </r>
  </si>
  <si>
    <r>
      <t xml:space="preserve">Connected with new Distribution Box  </t>
    </r>
    <r>
      <rPr>
        <sz val="11"/>
        <color theme="0"/>
        <rFont val="Arial"/>
        <family val="2"/>
      </rPr>
      <t>(light appliances)</t>
    </r>
  </si>
  <si>
    <t>W_sys</t>
  </si>
  <si>
    <t>W_req</t>
  </si>
  <si>
    <r>
      <t>Volt</t>
    </r>
    <r>
      <rPr>
        <b/>
        <sz val="11"/>
        <rFont val="Arial"/>
        <family val="2"/>
      </rPr>
      <t>_</t>
    </r>
    <r>
      <rPr>
        <b/>
        <sz val="11"/>
        <rFont val="Calibri"/>
        <family val="2"/>
      </rPr>
      <t>Sys</t>
    </r>
  </si>
  <si>
    <t>%</t>
  </si>
  <si>
    <t>Enter your choice with the corresponding parameters</t>
  </si>
  <si>
    <t>Seriel</t>
  </si>
  <si>
    <t>Parallel</t>
  </si>
  <si>
    <t>Strings / Bat.</t>
  </si>
  <si>
    <t>Select</t>
  </si>
  <si>
    <t>Auxiliary</t>
  </si>
  <si>
    <r>
      <rPr>
        <sz val="10"/>
        <color theme="3"/>
        <rFont val="Arial"/>
        <family val="2"/>
      </rPr>
      <t>additiona</t>
    </r>
    <r>
      <rPr>
        <sz val="11"/>
        <color theme="3"/>
        <rFont val="Arial"/>
        <family val="2"/>
      </rPr>
      <t>l</t>
    </r>
    <r>
      <rPr>
        <b/>
        <sz val="14"/>
        <color theme="3"/>
        <rFont val="Arial"/>
        <family val="2"/>
      </rPr>
      <t xml:space="preserve"> Connected to the </t>
    </r>
    <r>
      <rPr>
        <b/>
        <sz val="14"/>
        <color rgb="FFFF0000"/>
        <rFont val="Arial"/>
        <family val="2"/>
      </rPr>
      <t xml:space="preserve"> EXISTING </t>
    </r>
    <r>
      <rPr>
        <b/>
        <sz val="10"/>
        <color theme="3"/>
        <rFont val="Arial"/>
        <family val="2"/>
      </rPr>
      <t xml:space="preserve"> Distribution Box</t>
    </r>
  </si>
  <si>
    <r>
      <t>V</t>
    </r>
    <r>
      <rPr>
        <b/>
        <sz val="8"/>
        <color theme="0"/>
        <rFont val="Calibri"/>
        <family val="2"/>
      </rPr>
      <t>oc</t>
    </r>
  </si>
  <si>
    <t>Batteries / (Cells)-bank</t>
  </si>
  <si>
    <r>
      <rPr>
        <b/>
        <sz val="12"/>
        <color theme="0"/>
        <rFont val="Calibri"/>
        <family val="2"/>
      </rPr>
      <t>V</t>
    </r>
    <r>
      <rPr>
        <sz val="8"/>
        <color theme="0"/>
        <rFont val="Arial"/>
        <family val="2"/>
      </rPr>
      <t>cell/batt</t>
    </r>
  </si>
  <si>
    <t>SHUNBIN LiFePo4  12V / 100Ah</t>
  </si>
  <si>
    <r>
      <t xml:space="preserve">SOLAR PANELS  </t>
    </r>
    <r>
      <rPr>
        <b/>
        <sz val="11"/>
        <color theme="0"/>
        <rFont val="Calibri"/>
        <family val="2"/>
      </rPr>
      <t xml:space="preserve"> </t>
    </r>
    <r>
      <rPr>
        <sz val="11"/>
        <color theme="0"/>
        <rFont val="Calibri"/>
        <family val="2"/>
      </rPr>
      <t>(Mono- or Polycrystall)</t>
    </r>
  </si>
  <si>
    <r>
      <t xml:space="preserve">BATTERIES          </t>
    </r>
    <r>
      <rPr>
        <sz val="11"/>
        <color theme="0"/>
        <rFont val="Calibri"/>
        <family val="2"/>
      </rPr>
      <t>(LiFEPo4, GEL. AGM or Carbon)</t>
    </r>
  </si>
  <si>
    <r>
      <t>Hybrid INVERTER</t>
    </r>
    <r>
      <rPr>
        <sz val="8"/>
        <color theme="0"/>
        <rFont val="Calibri"/>
        <family val="2"/>
      </rPr>
      <t xml:space="preserve"> with MPPT</t>
    </r>
    <r>
      <rPr>
        <b/>
        <sz val="8"/>
        <color theme="0"/>
        <rFont val="Calibri"/>
        <family val="2"/>
      </rPr>
      <t xml:space="preserve">       </t>
    </r>
    <r>
      <rPr>
        <sz val="8"/>
        <color theme="0"/>
        <rFont val="Calibri"/>
        <family val="2"/>
      </rPr>
      <t xml:space="preserve"> (Grid, Solar &amp; Generator control</t>
    </r>
    <r>
      <rPr>
        <sz val="10"/>
        <color theme="0"/>
        <rFont val="Calibri"/>
        <family val="2"/>
      </rPr>
      <t>)</t>
    </r>
  </si>
  <si>
    <t>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</si>
</sst>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807]#,##0"/>
    <numFmt numFmtId="165" formatCode="#,##0.0"/>
    <numFmt numFmtId="166" formatCode="[$-807]#,##0.00"/>
    <numFmt numFmtId="167" formatCode="0.0"/>
    <numFmt numFmtId="168" formatCode="[$-807]General"/>
    <numFmt numFmtId="169" formatCode="[$-807]0"/>
    <numFmt numFmtId="170" formatCode="[$SFr.-807]&quot; &quot;#,##0.00;[Red][$SFr.-807]&quot; -&quot;#,##0.00"/>
    <numFmt numFmtId="171" formatCode="0.000"/>
    <numFmt numFmtId="172" formatCode="0.0_ ;[Red]\-0.0\ "/>
  </numFmts>
  <fonts count="144" x14ac:knownFonts="1">
    <font>
      <sz val="11"/>
      <color theme="1"/>
      <name val="Arial"/>
      <family val="2"/>
    </font>
    <font>
      <sz val="11"/>
      <color rgb="FF9C0006"/>
      <name val="Arial"/>
      <family val="2"/>
    </font>
    <font>
      <sz val="11"/>
      <color rgb="FF000000"/>
      <name val="Calibri"/>
      <family val="2"/>
    </font>
    <font>
      <b/>
      <sz val="11"/>
      <color rgb="FFFA7D00"/>
      <name val="Calibri"/>
      <family val="2"/>
    </font>
    <font>
      <u/>
      <sz val="10"/>
      <color rgb="FF0563C1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10"/>
      <color rgb="FFFFFFFF"/>
      <name val="Arial"/>
      <family val="2"/>
    </font>
    <font>
      <b/>
      <sz val="8"/>
      <color rgb="FFFFFFFF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FFFF00"/>
      <name val="Arial"/>
      <family val="2"/>
    </font>
    <font>
      <sz val="10"/>
      <color rgb="FFFFFF00"/>
      <name val="Arial"/>
      <family val="2"/>
    </font>
    <font>
      <b/>
      <sz val="10"/>
      <color rgb="FFD0CECE"/>
      <name val="Arial"/>
      <family val="2"/>
    </font>
    <font>
      <b/>
      <sz val="14"/>
      <color rgb="FFFFFFFF"/>
      <name val="Arial"/>
      <family val="2"/>
    </font>
    <font>
      <b/>
      <sz val="9"/>
      <color rgb="FF000000"/>
      <name val="Arial"/>
      <family val="2"/>
    </font>
    <font>
      <b/>
      <sz val="12"/>
      <color rgb="FFFFFFFF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FFFFFF"/>
      <name val="Arial"/>
      <family val="2"/>
    </font>
    <font>
      <sz val="8"/>
      <color rgb="FFFFFFFF"/>
      <name val="Arial"/>
      <family val="2"/>
    </font>
    <font>
      <u/>
      <sz val="9"/>
      <color rgb="FF000000"/>
      <name val="Arial"/>
      <family val="2"/>
    </font>
    <font>
      <sz val="8"/>
      <color rgb="FF181717"/>
      <name val="Arial"/>
      <family val="2"/>
    </font>
    <font>
      <sz val="10"/>
      <color rgb="FF000000"/>
      <name val="Verdana"/>
      <family val="2"/>
    </font>
    <font>
      <b/>
      <sz val="8"/>
      <color rgb="FFFFFF00"/>
      <name val="Arial"/>
      <family val="2"/>
    </font>
    <font>
      <b/>
      <sz val="10"/>
      <color rgb="FF111111"/>
      <name val="Arial"/>
      <family val="2"/>
    </font>
    <font>
      <sz val="11"/>
      <color rgb="FFFFFFFF"/>
      <name val="Calibri"/>
      <family val="2"/>
    </font>
    <font>
      <b/>
      <sz val="14"/>
      <color theme="3"/>
      <name val="Arial"/>
      <family val="2"/>
    </font>
    <font>
      <sz val="10"/>
      <color theme="9" tint="-0.499984740745262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rgb="FF000000"/>
      <name val="Calibri"/>
      <family val="2"/>
    </font>
    <font>
      <b/>
      <sz val="8"/>
      <color rgb="FFFA7D00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b/>
      <sz val="10"/>
      <color theme="3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0"/>
      <color theme="5" tint="-0.249977111117893"/>
      <name val="Arial"/>
      <family val="2"/>
    </font>
    <font>
      <b/>
      <sz val="10"/>
      <color theme="7" tint="-0.499984740745262"/>
      <name val="Arial"/>
      <family val="2"/>
    </font>
    <font>
      <b/>
      <sz val="10"/>
      <color rgb="FFFF0000"/>
      <name val="Calibri"/>
      <family val="2"/>
    </font>
    <font>
      <b/>
      <sz val="10"/>
      <color theme="0"/>
      <name val="Arial"/>
      <family val="2"/>
    </font>
    <font>
      <b/>
      <sz val="14"/>
      <color theme="4" tint="-0.499984740745262"/>
      <name val="Arial"/>
      <family val="2"/>
    </font>
    <font>
      <b/>
      <sz val="10"/>
      <color rgb="FF000000"/>
      <name val="Calibri"/>
      <family val="2"/>
    </font>
    <font>
      <b/>
      <sz val="11"/>
      <color theme="0"/>
      <name val="Calibri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Calibri"/>
      <family val="2"/>
    </font>
    <font>
      <sz val="8"/>
      <color theme="0"/>
      <name val="Calibri"/>
      <family val="2"/>
    </font>
    <font>
      <b/>
      <sz val="12"/>
      <color rgb="FFFF0000"/>
      <name val="Calibri"/>
      <family val="2"/>
    </font>
    <font>
      <b/>
      <sz val="12"/>
      <color theme="0"/>
      <name val="Calibri"/>
      <family val="2"/>
    </font>
    <font>
      <b/>
      <sz val="20"/>
      <color theme="0"/>
      <name val="Arial"/>
      <family val="2"/>
    </font>
    <font>
      <b/>
      <sz val="10"/>
      <color theme="4" tint="-0.499984740745262"/>
      <name val="Arial"/>
      <family val="2"/>
    </font>
    <font>
      <b/>
      <sz val="11"/>
      <color rgb="FF000000"/>
      <name val="Calibri"/>
      <family val="2"/>
    </font>
    <font>
      <u/>
      <sz val="11"/>
      <color theme="10"/>
      <name val="Arial"/>
      <family val="2"/>
    </font>
    <font>
      <b/>
      <sz val="8"/>
      <color rgb="FF000000"/>
      <name val="Calibri"/>
      <family val="2"/>
    </font>
    <font>
      <b/>
      <sz val="11"/>
      <color rgb="FF002060"/>
      <name val="Arial"/>
      <family val="2"/>
    </font>
    <font>
      <sz val="8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u/>
      <sz val="8"/>
      <color theme="10"/>
      <name val="Arial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b/>
      <sz val="12"/>
      <color indexed="81"/>
      <name val="Segoe UI"/>
      <family val="2"/>
    </font>
    <font>
      <b/>
      <sz val="10"/>
      <color theme="3" tint="-0.499984740745262"/>
      <name val="Calibri"/>
      <family val="2"/>
    </font>
    <font>
      <b/>
      <sz val="11"/>
      <name val="Calibri"/>
      <family val="2"/>
    </font>
    <font>
      <sz val="8"/>
      <color rgb="FFFFFFFF"/>
      <name val="Calibri"/>
      <family val="2"/>
    </font>
    <font>
      <b/>
      <sz val="8"/>
      <color theme="8" tint="-0.499984740745262"/>
      <name val="Arial"/>
      <family val="2"/>
    </font>
    <font>
      <b/>
      <sz val="11"/>
      <color rgb="FF222222"/>
      <name val="Roboto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b/>
      <sz val="9"/>
      <color theme="0"/>
      <name val="Arial"/>
      <family val="2"/>
    </font>
    <font>
      <sz val="11"/>
      <color rgb="FF333333"/>
      <name val="Open Sans"/>
      <family val="2"/>
    </font>
    <font>
      <sz val="12"/>
      <color rgb="FF000000"/>
      <name val="Calibri"/>
      <family val="2"/>
    </font>
    <font>
      <b/>
      <sz val="11"/>
      <color indexed="81"/>
      <name val="Segoe UI"/>
      <family val="2"/>
    </font>
    <font>
      <b/>
      <sz val="8"/>
      <name val="Calibri"/>
      <family val="2"/>
    </font>
    <font>
      <b/>
      <sz val="8"/>
      <color theme="4" tint="-0.499984740745262"/>
      <name val="Arial"/>
      <family val="2"/>
    </font>
    <font>
      <sz val="14"/>
      <name val="Calibri"/>
      <family val="2"/>
    </font>
    <font>
      <b/>
      <sz val="11"/>
      <color theme="0"/>
      <name val="Arial"/>
      <family val="2"/>
    </font>
    <font>
      <b/>
      <sz val="9"/>
      <color theme="3" tint="-0.499984740745262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sz val="9"/>
      <color rgb="FF808080"/>
      <name val="Arial"/>
      <family val="2"/>
    </font>
    <font>
      <b/>
      <sz val="10"/>
      <color theme="3" tint="-0.499984740745262"/>
      <name val="Arial"/>
      <family val="2"/>
    </font>
    <font>
      <b/>
      <sz val="11"/>
      <color theme="4" tint="-0.249977111117893"/>
      <name val="Calibri"/>
      <family val="2"/>
    </font>
    <font>
      <b/>
      <sz val="9"/>
      <color rgb="FFFFFFFF"/>
      <name val="Arial"/>
      <family val="2"/>
    </font>
    <font>
      <sz val="10"/>
      <color theme="3" tint="-0.499984740745262"/>
      <name val="Arial"/>
      <family val="2"/>
    </font>
    <font>
      <b/>
      <sz val="8"/>
      <color rgb="FF002060"/>
      <name val="Arial"/>
      <family val="2"/>
    </font>
    <font>
      <sz val="10"/>
      <color rgb="FFFF0000"/>
      <name val="Calibri"/>
      <family val="2"/>
    </font>
    <font>
      <sz val="10"/>
      <color theme="3" tint="-0.499984740745262"/>
      <name val="Calibri"/>
      <family val="2"/>
    </font>
    <font>
      <b/>
      <i/>
      <sz val="8"/>
      <color rgb="FF000000"/>
      <name val="Calibri"/>
      <family val="2"/>
    </font>
    <font>
      <u/>
      <sz val="10"/>
      <color theme="1"/>
      <name val="Arial"/>
      <family val="2"/>
    </font>
    <font>
      <b/>
      <sz val="14"/>
      <color rgb="FFFF0000"/>
      <name val="Arial"/>
      <family val="2"/>
    </font>
    <font>
      <b/>
      <sz val="10"/>
      <color theme="2" tint="-0.749992370372631"/>
      <name val="Arial"/>
      <family val="2"/>
    </font>
    <font>
      <b/>
      <sz val="14"/>
      <name val="Arial"/>
      <family val="2"/>
    </font>
    <font>
      <b/>
      <sz val="10"/>
      <color theme="8" tint="-0.499984740745262"/>
      <name val="Arial"/>
      <family val="2"/>
    </font>
    <font>
      <b/>
      <sz val="10"/>
      <color theme="2" tint="-0.89999084444715716"/>
      <name val="Arial"/>
      <family val="2"/>
    </font>
    <font>
      <sz val="11"/>
      <color rgb="FFFF0000"/>
      <name val="Calibri"/>
      <family val="2"/>
    </font>
    <font>
      <b/>
      <sz val="12"/>
      <color theme="5" tint="-0.499984740745262"/>
      <name val="Calibri"/>
      <family val="2"/>
    </font>
    <font>
      <b/>
      <sz val="11"/>
      <color theme="5" tint="-0.499984740745262"/>
      <name val="Calibri"/>
      <family val="2"/>
    </font>
    <font>
      <b/>
      <sz val="11"/>
      <color theme="4" tint="-0.499984740745262"/>
      <name val="Calibri"/>
      <family val="2"/>
    </font>
    <font>
      <sz val="8"/>
      <color theme="0" tint="-0.499984740745262"/>
      <name val="Calibri"/>
      <family val="2"/>
    </font>
    <font>
      <b/>
      <sz val="8"/>
      <color theme="2" tint="-0.749992370372631"/>
      <name val="Arial"/>
      <family val="2"/>
    </font>
    <font>
      <sz val="11"/>
      <color theme="0"/>
      <name val="Arial"/>
      <family val="2"/>
    </font>
    <font>
      <sz val="11"/>
      <color theme="3"/>
      <name val="Arial"/>
      <family val="2"/>
    </font>
    <font>
      <b/>
      <sz val="11"/>
      <color theme="4" tint="-0.499984740745262"/>
      <name val="Arial"/>
      <family val="2"/>
    </font>
    <font>
      <b/>
      <sz val="11"/>
      <name val="Arial"/>
      <family val="2"/>
    </font>
    <font>
      <b/>
      <u/>
      <sz val="11"/>
      <color theme="10"/>
      <name val="Arial"/>
      <family val="2"/>
    </font>
    <font>
      <b/>
      <sz val="10"/>
      <color indexed="81"/>
      <name val="Segoe UI"/>
      <family val="2"/>
    </font>
    <font>
      <b/>
      <sz val="14"/>
      <color theme="1"/>
      <name val="Arial"/>
      <family val="2"/>
    </font>
    <font>
      <sz val="10"/>
      <color rgb="FFFFFFFF"/>
      <name val="Arial"/>
      <family val="2"/>
    </font>
    <font>
      <b/>
      <sz val="10"/>
      <name val="Calibri"/>
      <family val="2"/>
    </font>
    <font>
      <b/>
      <sz val="12"/>
      <color rgb="FFFF0000"/>
      <name val="Arial"/>
      <family val="2"/>
    </font>
    <font>
      <b/>
      <sz val="11"/>
      <color theme="2" tint="-0.89999084444715716"/>
      <name val="Calibri"/>
      <family val="2"/>
    </font>
    <font>
      <b/>
      <sz val="12"/>
      <color theme="3" tint="-0.499984740745262"/>
      <name val="Calibri"/>
      <family val="2"/>
    </font>
    <font>
      <sz val="8"/>
      <color rgb="FFFF0000"/>
      <name val="Arial"/>
      <family val="2"/>
    </font>
    <font>
      <sz val="10"/>
      <color theme="2" tint="-0.89999084444715716"/>
      <name val="Calibri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12"/>
      <color rgb="FFFF0000"/>
      <name val="Calibri"/>
      <family val="2"/>
    </font>
    <font>
      <b/>
      <sz val="12"/>
      <color theme="2" tint="-0.89999084444715716"/>
      <name val="Calibri"/>
      <family val="2"/>
    </font>
    <font>
      <sz val="12"/>
      <color theme="3" tint="-0.499984740745262"/>
      <name val="Calibri"/>
      <family val="2"/>
    </font>
    <font>
      <sz val="10"/>
      <color theme="2" tint="-0.89999084444715716"/>
      <name val="Arial"/>
      <family val="2"/>
    </font>
    <font>
      <sz val="10"/>
      <color theme="3"/>
      <name val="Arial"/>
      <family val="2"/>
    </font>
    <font>
      <sz val="12"/>
      <color theme="2" tint="-0.89999084444715716"/>
      <name val="Arial"/>
      <family val="2"/>
    </font>
    <font>
      <b/>
      <sz val="11"/>
      <color rgb="FFFF0000"/>
      <name val="Calibri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rgb="FFFF0000"/>
      <name val="Calibri"/>
      <family val="2"/>
    </font>
    <font>
      <sz val="9"/>
      <color rgb="FFFF0000"/>
      <name val="Arial"/>
      <family val="2"/>
    </font>
    <font>
      <b/>
      <sz val="16"/>
      <color theme="0"/>
      <name val="Arial"/>
      <family val="2"/>
    </font>
    <font>
      <sz val="10"/>
      <color theme="0"/>
      <name val="Calibri"/>
      <family val="2"/>
    </font>
    <font>
      <b/>
      <sz val="10"/>
      <color theme="1"/>
      <name val="Arial"/>
      <family val="2"/>
    </font>
    <font>
      <b/>
      <sz val="11"/>
      <color rgb="FFFFFF99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rgb="FF385724"/>
        <bgColor rgb="FF385724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0E563B"/>
        <bgColor rgb="FF0E563B"/>
      </patternFill>
    </fill>
    <fill>
      <patternFill patternType="solid">
        <fgColor rgb="FFE7E6E6"/>
        <bgColor rgb="FFE7E6E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38572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E2F0D9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767171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rgb="FFBF9000"/>
      </patternFill>
    </fill>
    <fill>
      <patternFill patternType="solid">
        <fgColor theme="4" tint="0.79998168889431442"/>
        <bgColor rgb="FFFFFFCC"/>
      </patternFill>
    </fill>
    <fill>
      <patternFill patternType="solid">
        <fgColor theme="4" tint="0.79998168889431442"/>
        <bgColor rgb="FFE2F0D9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C000"/>
        <bgColor rgb="FFFFFFCC"/>
      </patternFill>
    </fill>
    <fill>
      <patternFill patternType="solid">
        <fgColor theme="4" tint="0.59999389629810485"/>
        <bgColor rgb="FF385724"/>
      </patternFill>
    </fill>
    <fill>
      <patternFill patternType="solid">
        <fgColor theme="9" tint="-0.499984740745262"/>
        <bgColor rgb="FFFFC0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rgb="FFBF90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rgb="FFC55A11"/>
      </patternFill>
    </fill>
    <fill>
      <patternFill patternType="solid">
        <fgColor theme="9" tint="-0.499984740745262"/>
        <bgColor rgb="FF385724"/>
      </patternFill>
    </fill>
    <fill>
      <patternFill patternType="solid">
        <fgColor theme="9" tint="-0.249977111117893"/>
        <bgColor rgb="FF000000"/>
      </patternFill>
    </fill>
    <fill>
      <patternFill patternType="solid">
        <fgColor theme="0"/>
        <bgColor rgb="FF0E563B"/>
      </patternFill>
    </fill>
    <fill>
      <patternFill patternType="solid">
        <fgColor theme="0"/>
        <bgColor rgb="FF333F50"/>
      </patternFill>
    </fill>
    <fill>
      <patternFill patternType="solid">
        <fgColor theme="9" tint="-0.249977111117893"/>
        <bgColor rgb="FFFF0000"/>
      </patternFill>
    </fill>
    <fill>
      <patternFill patternType="solid">
        <fgColor theme="8" tint="0.79998168889431442"/>
        <bgColor rgb="FFE7E6E6"/>
      </patternFill>
    </fill>
    <fill>
      <patternFill patternType="solid">
        <fgColor theme="2" tint="-9.9978637043366805E-2"/>
        <bgColor rgb="FF385724"/>
      </patternFill>
    </fill>
    <fill>
      <patternFill patternType="solid">
        <fgColor theme="4" tint="-0.249977111117893"/>
        <bgColor rgb="FFFFFF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rgb="FFFFFFCC"/>
      </patternFill>
    </fill>
    <fill>
      <patternFill patternType="solid">
        <fgColor theme="9" tint="-0.249977111117893"/>
        <bgColor rgb="FFFFFFCC"/>
      </patternFill>
    </fill>
    <fill>
      <patternFill patternType="solid">
        <fgColor theme="1"/>
        <bgColor rgb="FFFF0000"/>
      </patternFill>
    </fill>
    <fill>
      <patternFill patternType="solid">
        <fgColor theme="1"/>
        <bgColor rgb="FF0E563B"/>
      </patternFill>
    </fill>
    <fill>
      <patternFill patternType="solid">
        <fgColor theme="9" tint="-0.499984740745262"/>
        <bgColor rgb="FF404040"/>
      </patternFill>
    </fill>
    <fill>
      <patternFill patternType="solid">
        <fgColor theme="4" tint="-0.499984740745262"/>
        <bgColor rgb="FF385724"/>
      </patternFill>
    </fill>
    <fill>
      <patternFill patternType="solid">
        <fgColor theme="3" tint="0.39997558519241921"/>
        <bgColor rgb="FF0E563B"/>
      </patternFill>
    </fill>
    <fill>
      <patternFill patternType="solid">
        <fgColor theme="1"/>
        <bgColor rgb="FFFFC000"/>
      </patternFill>
    </fill>
    <fill>
      <patternFill patternType="solid">
        <fgColor theme="9" tint="-0.499984740745262"/>
        <bgColor rgb="FFFFFFCC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404040"/>
      </patternFill>
    </fill>
    <fill>
      <patternFill patternType="solid">
        <fgColor theme="0"/>
        <bgColor rgb="FFBF9000"/>
      </patternFill>
    </fill>
    <fill>
      <patternFill patternType="solid">
        <fgColor theme="6" tint="-0.499984740745262"/>
        <bgColor rgb="FF385724"/>
      </patternFill>
    </fill>
    <fill>
      <patternFill patternType="solid">
        <fgColor theme="5" tint="-0.499984740745262"/>
        <bgColor rgb="FF38572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rgb="FF333F5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rgb="FFFFFF00"/>
      </patternFill>
    </fill>
    <fill>
      <patternFill patternType="solid">
        <fgColor rgb="FFFFFF99"/>
        <bgColor rgb="FF404040"/>
      </patternFill>
    </fill>
    <fill>
      <patternFill patternType="solid">
        <fgColor rgb="FFFFFF99"/>
        <bgColor rgb="FF000000"/>
      </patternFill>
    </fill>
    <fill>
      <patternFill patternType="solid">
        <fgColor theme="6" tint="-0.249977111117893"/>
        <bgColor rgb="FFA9D18E"/>
      </patternFill>
    </fill>
    <fill>
      <patternFill patternType="solid">
        <fgColor rgb="FFFFFF99"/>
        <bgColor rgb="FFF2F2F2"/>
      </patternFill>
    </fill>
    <fill>
      <patternFill patternType="solid">
        <fgColor rgb="FFFFFF99"/>
        <bgColor rgb="FFFFFFCC"/>
      </patternFill>
    </fill>
    <fill>
      <patternFill patternType="solid">
        <fgColor rgb="FFFFFF99"/>
        <bgColor rgb="FFBF9000"/>
      </patternFill>
    </fill>
    <fill>
      <patternFill patternType="solid">
        <fgColor theme="9" tint="-0.249977111117893"/>
        <bgColor indexed="64"/>
      </patternFill>
    </fill>
  </fills>
  <borders count="16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theme="4" tint="-0.249977111117893"/>
      </left>
      <right/>
      <top/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4" tint="-0.249977111117893"/>
      </left>
      <right/>
      <top style="medium">
        <color indexed="64"/>
      </top>
      <bottom/>
      <diagonal/>
    </border>
    <border>
      <left style="medium">
        <color theme="9" tint="-0.249977111117893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theme="4" tint="-0.249977111117893"/>
      </right>
      <top style="hair">
        <color rgb="FFFF0000"/>
      </top>
      <bottom style="hair">
        <color rgb="FFFF0000"/>
      </bottom>
      <diagonal/>
    </border>
    <border>
      <left style="thin">
        <color rgb="FF000000"/>
      </left>
      <right style="thin">
        <color rgb="FF000000"/>
      </right>
      <top style="medium">
        <color rgb="FFFF0000"/>
      </top>
      <bottom style="medium">
        <color rgb="FFFF0000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FF0000"/>
      </bottom>
      <diagonal/>
    </border>
    <border>
      <left style="medium">
        <color rgb="FFC00000"/>
      </left>
      <right style="medium">
        <color rgb="FFFF0000"/>
      </right>
      <top/>
      <bottom style="medium">
        <color rgb="FFFF0000"/>
      </bottom>
      <diagonal/>
    </border>
    <border>
      <left/>
      <right style="hair">
        <color indexed="64"/>
      </right>
      <top style="medium">
        <color theme="4" tint="-0.249977111117893"/>
      </top>
      <bottom style="hair">
        <color indexed="64"/>
      </bottom>
      <diagonal/>
    </border>
    <border>
      <left style="hair">
        <color rgb="FFFF0000"/>
      </left>
      <right style="hair">
        <color rgb="FFFF0000"/>
      </right>
      <top/>
      <bottom style="medium">
        <color theme="4" tint="-0.249977111117893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/>
      <right style="thin">
        <color indexed="64"/>
      </right>
      <top style="thin">
        <color indexed="64"/>
      </top>
      <bottom style="hair">
        <color theme="4" tint="-0.249977111117893"/>
      </bottom>
      <diagonal/>
    </border>
    <border>
      <left/>
      <right style="thin">
        <color indexed="64"/>
      </right>
      <top style="hair">
        <color theme="4" tint="-0.249977111117893"/>
      </top>
      <bottom/>
      <diagonal/>
    </border>
    <border>
      <left style="hair">
        <color rgb="FFFF0000"/>
      </left>
      <right style="medium">
        <color theme="4" tint="-0.249977111117893"/>
      </right>
      <top/>
      <bottom style="hair">
        <color rgb="FFFF0000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rgb="FF0070C0"/>
      </left>
      <right/>
      <top style="medium">
        <color theme="4" tint="-0.249977111117893"/>
      </top>
      <bottom style="hair">
        <color indexed="64"/>
      </bottom>
      <diagonal/>
    </border>
    <border>
      <left style="medium">
        <color rgb="FF0070C0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medium">
        <color indexed="64"/>
      </left>
      <right style="hair">
        <color theme="4" tint="-0.249977111117893"/>
      </right>
      <top/>
      <bottom style="medium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rgb="FFFF0000"/>
      </bottom>
      <diagonal/>
    </border>
    <border>
      <left style="medium">
        <color theme="4" tint="-0.249977111117893"/>
      </left>
      <right/>
      <top style="thin">
        <color rgb="FFFFC000"/>
      </top>
      <bottom style="thin">
        <color rgb="FFFFC000"/>
      </bottom>
      <diagonal/>
    </border>
    <border>
      <left style="thin">
        <color rgb="FF000000"/>
      </left>
      <right/>
      <top/>
      <bottom style="medium">
        <color rgb="FFFF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4" tint="-0.249977111117893"/>
      </left>
      <right style="medium">
        <color indexed="64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medium">
        <color indexed="64"/>
      </right>
      <top style="hair">
        <color theme="4" tint="-0.249977111117893"/>
      </top>
      <bottom/>
      <diagonal/>
    </border>
    <border>
      <left/>
      <right style="medium">
        <color theme="9" tint="-0.249977111117893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 style="hair">
        <color rgb="FFFF0000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theme="4" tint="-0.249977111117893"/>
      </bottom>
      <diagonal/>
    </border>
    <border>
      <left style="medium">
        <color indexed="64"/>
      </left>
      <right/>
      <top style="medium">
        <color theme="4" tint="-0.249977111117893"/>
      </top>
      <bottom/>
      <diagonal/>
    </border>
    <border>
      <left style="medium">
        <color indexed="64"/>
      </left>
      <right/>
      <top style="thin">
        <color rgb="FFFFC000"/>
      </top>
      <bottom style="thin">
        <color rgb="FFFFC000"/>
      </bottom>
      <diagonal/>
    </border>
    <border>
      <left style="medium">
        <color indexed="64"/>
      </left>
      <right style="hair">
        <color theme="7" tint="-0.499984740745262"/>
      </right>
      <top style="medium">
        <color theme="4" tint="-0.249977111117893"/>
      </top>
      <bottom style="hair">
        <color theme="7" tint="-0.499984740745262"/>
      </bottom>
      <diagonal/>
    </border>
    <border>
      <left style="medium">
        <color indexed="64"/>
      </left>
      <right style="hair">
        <color theme="7" tint="-0.499984740745262"/>
      </right>
      <top style="hair">
        <color theme="7" tint="-0.499984740745262"/>
      </top>
      <bottom style="hair">
        <color theme="7" tint="-0.499984740745262"/>
      </bottom>
      <diagonal/>
    </border>
    <border>
      <left style="hair">
        <color rgb="FFFF0000"/>
      </left>
      <right/>
      <top/>
      <bottom style="hair">
        <color rgb="FFFF0000"/>
      </bottom>
      <diagonal/>
    </border>
    <border>
      <left style="hair">
        <color theme="4" tint="-0.249977111117893"/>
      </left>
      <right/>
      <top/>
      <bottom style="medium">
        <color indexed="64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indexed="64"/>
      </left>
      <right style="medium">
        <color indexed="64"/>
      </right>
      <top/>
      <bottom style="hair">
        <color rgb="FFFF0000"/>
      </bottom>
      <diagonal/>
    </border>
    <border>
      <left style="medium">
        <color indexed="64"/>
      </left>
      <right/>
      <top style="hair">
        <color theme="4" tint="-0.249977111117893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rgb="FFFF0000"/>
      </bottom>
      <diagonal/>
    </border>
    <border>
      <left/>
      <right style="medium">
        <color indexed="64"/>
      </right>
      <top style="thin">
        <color theme="4" tint="-0.249977111117893"/>
      </top>
      <bottom style="medium">
        <color indexed="64"/>
      </bottom>
      <diagonal/>
    </border>
    <border>
      <left style="medium">
        <color indexed="64"/>
      </left>
      <right style="hair">
        <color theme="7" tint="-0.499984740745262"/>
      </right>
      <top style="hair">
        <color theme="7" tint="-0.499984740745262"/>
      </top>
      <bottom/>
      <diagonal/>
    </border>
    <border>
      <left/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theme="4" tint="-0.249977111117893"/>
      </right>
      <top style="hair">
        <color rgb="FFFF0000"/>
      </top>
      <bottom/>
      <diagonal/>
    </border>
    <border>
      <left style="hair">
        <color rgb="FFFF0000"/>
      </left>
      <right/>
      <top style="hair">
        <color rgb="FFFF0000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 style="hair">
        <color indexed="64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/>
      <right/>
      <top/>
      <bottom style="medium">
        <color theme="9" tint="-0.249977111117893"/>
      </bottom>
      <diagonal/>
    </border>
    <border>
      <left style="medium">
        <color indexed="64"/>
      </left>
      <right style="medium">
        <color theme="9" tint="-0.249977111117893"/>
      </right>
      <top style="medium">
        <color indexed="64"/>
      </top>
      <bottom style="medium">
        <color theme="9" tint="-0.249977111117893"/>
      </bottom>
      <diagonal/>
    </border>
    <border>
      <left style="thin">
        <color rgb="FF000000"/>
      </left>
      <right/>
      <top style="medium">
        <color theme="9" tint="-0.249977111117893"/>
      </top>
      <bottom style="medium">
        <color theme="4" tint="-0.249977111117893"/>
      </bottom>
      <diagonal/>
    </border>
    <border>
      <left style="medium">
        <color theme="9" tint="-0.249977111117893"/>
      </left>
      <right style="thin">
        <color rgb="FFFFFFFF"/>
      </right>
      <top style="medium">
        <color theme="9" tint="-0.249977111117893"/>
      </top>
      <bottom style="medium">
        <color theme="4" tint="-0.249977111117893"/>
      </bottom>
      <diagonal/>
    </border>
    <border>
      <left style="thin">
        <color rgb="FF000000"/>
      </left>
      <right style="thin">
        <color rgb="FF000000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rgb="FF000000"/>
      </left>
      <right style="thin">
        <color rgb="FFFFFFFF"/>
      </right>
      <top style="medium">
        <color theme="9" tint="-0.249977111117893"/>
      </top>
      <bottom style="medium">
        <color theme="4" tint="-0.249977111117893"/>
      </bottom>
      <diagonal/>
    </border>
    <border>
      <left style="thin">
        <color rgb="FF000000"/>
      </left>
      <right style="medium">
        <color theme="9" tint="-0.249977111117893"/>
      </right>
      <top style="medium">
        <color theme="9" tint="-0.249977111117893"/>
      </top>
      <bottom style="medium">
        <color theme="4" tint="-0.249977111117893"/>
      </bottom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 style="hair">
        <color indexed="64"/>
      </bottom>
      <diagonal/>
    </border>
    <border>
      <left style="medium">
        <color theme="9" tint="-0.249977111117893"/>
      </left>
      <right style="hair">
        <color indexed="64"/>
      </right>
      <top style="hair">
        <color indexed="64"/>
      </top>
      <bottom style="medium">
        <color theme="9" tint="-0.249977111117893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medium">
        <color theme="9" tint="-0.249977111117893"/>
      </bottom>
      <diagonal/>
    </border>
    <border>
      <left style="hair">
        <color indexed="64"/>
      </left>
      <right style="hair">
        <color indexed="64"/>
      </right>
      <top/>
      <bottom style="medium">
        <color theme="9" tint="-0.249977111117893"/>
      </bottom>
      <diagonal/>
    </border>
    <border>
      <left style="thin">
        <color rgb="FFFFC000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hair">
        <color indexed="64"/>
      </top>
      <bottom style="medium">
        <color theme="9" tint="-0.249977111117893"/>
      </bottom>
      <diagonal/>
    </border>
    <border>
      <left/>
      <right/>
      <top style="hair">
        <color indexed="64"/>
      </top>
      <bottom style="medium">
        <color theme="9" tint="-0.249977111117893"/>
      </bottom>
      <diagonal/>
    </border>
    <border>
      <left/>
      <right style="hair">
        <color indexed="64"/>
      </right>
      <top style="hair">
        <color indexed="64"/>
      </top>
      <bottom style="medium">
        <color theme="9" tint="-0.24997711111789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9" tint="-0.249977111117893"/>
      </bottom>
      <diagonal/>
    </border>
    <border>
      <left style="hair">
        <color indexed="64"/>
      </left>
      <right/>
      <top style="hair">
        <color indexed="64"/>
      </top>
      <bottom style="medium">
        <color theme="9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9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9" tint="-0.249977111117893"/>
      </bottom>
      <diagonal/>
    </border>
    <border>
      <left style="hair">
        <color indexed="64"/>
      </left>
      <right style="hair">
        <color indexed="64"/>
      </right>
      <top style="medium">
        <color theme="9" tint="-0.249977111117893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9" tint="-0.249977111117893"/>
      </top>
      <bottom/>
      <diagonal/>
    </border>
    <border>
      <left style="hair">
        <color rgb="FFFF0000"/>
      </left>
      <right style="hair">
        <color rgb="FFFF0000"/>
      </right>
      <top style="medium">
        <color theme="9" tint="-0.249977111117893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medium">
        <color indexed="64"/>
      </bottom>
      <diagonal/>
    </border>
    <border>
      <left/>
      <right/>
      <top/>
      <bottom style="medium">
        <color theme="9" tint="-0.499984740745262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 style="medium">
        <color theme="0"/>
      </left>
      <right style="medium">
        <color theme="0"/>
      </right>
      <top style="thin">
        <color theme="4" tint="-0.249977111117893"/>
      </top>
      <bottom style="medium">
        <color indexed="64"/>
      </bottom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 style="medium">
        <color indexed="64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theme="4" tint="-0.249977111117893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theme="8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FFC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theme="8" tint="-0.499984740745262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hair">
        <color indexed="64"/>
      </bottom>
      <diagonal/>
    </border>
    <border>
      <left style="medium">
        <color indexed="64"/>
      </left>
      <right style="thin">
        <color theme="4" tint="-0.249977111117893"/>
      </right>
      <top style="medium">
        <color theme="4" tint="-0.249977111117893"/>
      </top>
      <bottom/>
      <diagonal/>
    </border>
    <border>
      <left style="thin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indexed="64"/>
      </left>
      <right/>
      <top/>
      <bottom style="thin">
        <color theme="4" tint="-0.24997711111789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rgb="FFC00000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rgb="FFFFC000"/>
      </left>
      <right style="medium">
        <color rgb="FFFFC000"/>
      </right>
      <top/>
      <bottom style="medium">
        <color rgb="FFFFC000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hair">
        <color theme="4" tint="-0.249977111117893"/>
      </right>
      <top style="medium">
        <color theme="4" tint="-0.249977111117893"/>
      </top>
      <bottom/>
      <diagonal/>
    </border>
    <border>
      <left style="medium">
        <color indexed="64"/>
      </left>
      <right/>
      <top/>
      <bottom style="medium">
        <color theme="9" tint="-0.499984740745262"/>
      </bottom>
      <diagonal/>
    </border>
    <border>
      <left style="medium">
        <color rgb="FFFF0000"/>
      </left>
      <right style="hair">
        <color theme="4" tint="-0.249977111117893"/>
      </right>
      <top style="medium">
        <color rgb="FFFF0000"/>
      </top>
      <bottom/>
      <diagonal/>
    </border>
    <border>
      <left style="hair">
        <color theme="4" tint="-0.249977111117893"/>
      </left>
      <right style="medium">
        <color indexed="64"/>
      </right>
      <top style="medium">
        <color rgb="FFFF0000"/>
      </top>
      <bottom/>
      <diagonal/>
    </border>
    <border>
      <left style="hair">
        <color theme="4" tint="-0.249977111117893"/>
      </left>
      <right/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indexed="64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 style="hair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hair">
        <color theme="4" tint="-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4" tint="-0.249977111117893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rgb="FFC00000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C00000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theme="9" tint="-0.249977111117893"/>
      </top>
      <bottom/>
      <diagonal/>
    </border>
    <border>
      <left style="hair">
        <color indexed="64"/>
      </left>
      <right/>
      <top/>
      <bottom style="medium">
        <color theme="9" tint="-0.249977111117893"/>
      </bottom>
      <diagonal/>
    </border>
  </borders>
  <cellStyleXfs count="10">
    <xf numFmtId="0" fontId="0" fillId="0" borderId="0"/>
    <xf numFmtId="0" fontId="1" fillId="0" borderId="0"/>
    <xf numFmtId="168" fontId="3" fillId="3" borderId="1"/>
    <xf numFmtId="168" fontId="4" fillId="0" borderId="0"/>
    <xf numFmtId="168" fontId="2" fillId="0" borderId="0"/>
    <xf numFmtId="0" fontId="5" fillId="0" borderId="0">
      <alignment horizontal="center"/>
    </xf>
    <xf numFmtId="0" fontId="5" fillId="0" borderId="0">
      <alignment horizontal="center" textRotation="90"/>
    </xf>
    <xf numFmtId="0" fontId="6" fillId="0" borderId="0"/>
    <xf numFmtId="170" fontId="6" fillId="0" borderId="0"/>
    <xf numFmtId="0" fontId="61" fillId="0" borderId="0" applyNumberFormat="0" applyFill="0" applyBorder="0" applyAlignment="0" applyProtection="0"/>
  </cellStyleXfs>
  <cellXfs count="431">
    <xf numFmtId="0" fontId="0" fillId="0" borderId="0" xfId="0"/>
    <xf numFmtId="168" fontId="7" fillId="5" borderId="0" xfId="4" applyFont="1" applyFill="1" applyBorder="1" applyAlignment="1">
      <alignment horizontal="center" vertical="center"/>
    </xf>
    <xf numFmtId="165" fontId="2" fillId="5" borderId="0" xfId="4" applyNumberFormat="1" applyFill="1" applyBorder="1"/>
    <xf numFmtId="168" fontId="2" fillId="5" borderId="0" xfId="4" applyFill="1" applyBorder="1"/>
    <xf numFmtId="168" fontId="2" fillId="0" borderId="0" xfId="4"/>
    <xf numFmtId="168" fontId="10" fillId="5" borderId="0" xfId="4" applyFont="1" applyFill="1" applyBorder="1" applyAlignment="1">
      <alignment horizontal="center" vertical="center"/>
    </xf>
    <xf numFmtId="168" fontId="2" fillId="5" borderId="0" xfId="4" applyFill="1"/>
    <xf numFmtId="165" fontId="10" fillId="5" borderId="0" xfId="4" applyNumberFormat="1" applyFont="1" applyFill="1" applyBorder="1" applyAlignment="1">
      <alignment horizontal="center" vertical="center"/>
    </xf>
    <xf numFmtId="167" fontId="10" fillId="5" borderId="0" xfId="4" applyNumberFormat="1" applyFont="1" applyFill="1" applyBorder="1" applyAlignment="1">
      <alignment horizontal="center" vertical="center"/>
    </xf>
    <xf numFmtId="168" fontId="29" fillId="5" borderId="0" xfId="4" applyFont="1" applyFill="1" applyBorder="1"/>
    <xf numFmtId="168" fontId="29" fillId="5" borderId="0" xfId="4" applyFont="1" applyFill="1" applyBorder="1" applyAlignment="1">
      <alignment horizontal="center" vertical="center"/>
    </xf>
    <xf numFmtId="168" fontId="29" fillId="5" borderId="0" xfId="4" applyFont="1" applyFill="1"/>
    <xf numFmtId="168" fontId="23" fillId="5" borderId="0" xfId="4" applyFont="1" applyFill="1" applyBorder="1" applyAlignment="1">
      <alignment horizontal="center" vertical="center"/>
    </xf>
    <xf numFmtId="164" fontId="7" fillId="5" borderId="0" xfId="4" applyNumberFormat="1" applyFont="1" applyFill="1" applyBorder="1" applyAlignment="1">
      <alignment horizontal="center" vertical="center"/>
    </xf>
    <xf numFmtId="166" fontId="23" fillId="5" borderId="0" xfId="4" applyNumberFormat="1" applyFont="1" applyFill="1" applyBorder="1" applyAlignment="1">
      <alignment horizontal="right" vertical="center"/>
    </xf>
    <xf numFmtId="166" fontId="8" fillId="5" borderId="0" xfId="4" applyNumberFormat="1" applyFont="1" applyFill="1" applyBorder="1" applyAlignment="1">
      <alignment horizontal="right" vertical="center"/>
    </xf>
    <xf numFmtId="168" fontId="2" fillId="0" borderId="0" xfId="4" applyBorder="1"/>
    <xf numFmtId="168" fontId="2" fillId="16" borderId="0" xfId="4" applyFill="1" applyBorder="1"/>
    <xf numFmtId="168" fontId="26" fillId="14" borderId="0" xfId="4" applyFont="1" applyFill="1"/>
    <xf numFmtId="168" fontId="2" fillId="14" borderId="0" xfId="4" applyFill="1"/>
    <xf numFmtId="168" fontId="28" fillId="14" borderId="0" xfId="4" applyFont="1" applyFill="1" applyAlignment="1">
      <alignment horizontal="left" vertical="center" indent="1"/>
    </xf>
    <xf numFmtId="168" fontId="10" fillId="14" borderId="0" xfId="4" applyFont="1" applyFill="1"/>
    <xf numFmtId="168" fontId="37" fillId="0" borderId="0" xfId="4" applyFont="1" applyBorder="1"/>
    <xf numFmtId="168" fontId="31" fillId="18" borderId="0" xfId="4" applyFont="1" applyFill="1" applyBorder="1"/>
    <xf numFmtId="168" fontId="11" fillId="16" borderId="0" xfId="4" applyFont="1" applyFill="1" applyBorder="1" applyAlignment="1">
      <alignment horizontal="center" vertical="center"/>
    </xf>
    <xf numFmtId="168" fontId="15" fillId="16" borderId="0" xfId="4" applyFont="1" applyFill="1" applyBorder="1"/>
    <xf numFmtId="165" fontId="10" fillId="16" borderId="0" xfId="4" applyNumberFormat="1" applyFont="1" applyFill="1" applyBorder="1" applyAlignment="1">
      <alignment horizontal="center" vertical="center"/>
    </xf>
    <xf numFmtId="0" fontId="0" fillId="17" borderId="0" xfId="0" applyFill="1" applyBorder="1"/>
    <xf numFmtId="164" fontId="11" fillId="13" borderId="0" xfId="4" applyNumberFormat="1" applyFont="1" applyFill="1" applyBorder="1" applyAlignment="1">
      <alignment horizontal="center" vertical="center"/>
    </xf>
    <xf numFmtId="165" fontId="11" fillId="19" borderId="0" xfId="4" applyNumberFormat="1" applyFont="1" applyFill="1" applyBorder="1" applyAlignment="1">
      <alignment horizontal="center" vertical="center"/>
    </xf>
    <xf numFmtId="164" fontId="13" fillId="29" borderId="0" xfId="4" applyNumberFormat="1" applyFont="1" applyFill="1" applyBorder="1" applyAlignment="1">
      <alignment horizontal="center"/>
    </xf>
    <xf numFmtId="169" fontId="21" fillId="16" borderId="0" xfId="4" applyNumberFormat="1" applyFont="1" applyFill="1" applyBorder="1" applyAlignment="1">
      <alignment horizontal="center" vertical="center"/>
    </xf>
    <xf numFmtId="171" fontId="35" fillId="20" borderId="0" xfId="2" applyNumberFormat="1" applyFont="1" applyFill="1" applyBorder="1" applyAlignment="1" applyProtection="1"/>
    <xf numFmtId="1" fontId="10" fillId="13" borderId="0" xfId="4" applyNumberFormat="1" applyFont="1" applyFill="1" applyBorder="1" applyAlignment="1">
      <alignment horizontal="center"/>
    </xf>
    <xf numFmtId="168" fontId="34" fillId="0" borderId="0" xfId="4" applyFont="1"/>
    <xf numFmtId="49" fontId="41" fillId="5" borderId="0" xfId="4" applyNumberFormat="1" applyFont="1" applyFill="1" applyBorder="1" applyAlignment="1">
      <alignment horizontal="right" vertical="center"/>
    </xf>
    <xf numFmtId="168" fontId="60" fillId="0" borderId="0" xfId="4" applyFont="1"/>
    <xf numFmtId="165" fontId="21" fillId="3" borderId="8" xfId="4" applyNumberFormat="1" applyFont="1" applyFill="1" applyBorder="1"/>
    <xf numFmtId="165" fontId="8" fillId="38" borderId="0" xfId="4" applyNumberFormat="1" applyFont="1" applyFill="1" applyBorder="1" applyAlignment="1">
      <alignment vertical="center"/>
    </xf>
    <xf numFmtId="4" fontId="22" fillId="32" borderId="0" xfId="4" applyNumberFormat="1" applyFont="1" applyFill="1" applyBorder="1" applyAlignment="1">
      <alignment horizontal="right" vertical="center"/>
    </xf>
    <xf numFmtId="165" fontId="27" fillId="39" borderId="0" xfId="4" applyNumberFormat="1" applyFont="1" applyFill="1" applyBorder="1" applyAlignment="1">
      <alignment horizontal="left" vertical="center"/>
    </xf>
    <xf numFmtId="1" fontId="10" fillId="8" borderId="14" xfId="4" applyNumberFormat="1" applyFont="1" applyFill="1" applyBorder="1" applyAlignment="1">
      <alignment horizontal="center"/>
    </xf>
    <xf numFmtId="164" fontId="25" fillId="7" borderId="7" xfId="4" applyNumberFormat="1" applyFont="1" applyFill="1" applyBorder="1" applyAlignment="1">
      <alignment horizontal="left" vertical="center"/>
    </xf>
    <xf numFmtId="166" fontId="70" fillId="3" borderId="9" xfId="2" applyNumberFormat="1" applyFont="1" applyBorder="1" applyAlignment="1" applyProtection="1">
      <alignment vertical="center"/>
    </xf>
    <xf numFmtId="165" fontId="7" fillId="9" borderId="20" xfId="4" applyNumberFormat="1" applyFont="1" applyFill="1" applyBorder="1" applyAlignment="1">
      <alignment horizontal="center" vertical="center"/>
    </xf>
    <xf numFmtId="165" fontId="53" fillId="2" borderId="21" xfId="4" applyNumberFormat="1" applyFont="1" applyFill="1" applyBorder="1" applyAlignment="1">
      <alignment horizontal="right" vertical="center"/>
    </xf>
    <xf numFmtId="165" fontId="7" fillId="9" borderId="22" xfId="4" applyNumberFormat="1" applyFont="1" applyFill="1" applyBorder="1" applyAlignment="1">
      <alignment horizontal="center" vertical="center"/>
    </xf>
    <xf numFmtId="168" fontId="72" fillId="5" borderId="0" xfId="4" applyFont="1" applyFill="1" applyBorder="1" applyAlignment="1">
      <alignment horizontal="center" vertical="center"/>
    </xf>
    <xf numFmtId="168" fontId="72" fillId="5" borderId="0" xfId="4" applyFont="1" applyFill="1"/>
    <xf numFmtId="0" fontId="19" fillId="0" borderId="0" xfId="0" applyFont="1"/>
    <xf numFmtId="165" fontId="21" fillId="3" borderId="8" xfId="4" applyNumberFormat="1" applyFont="1" applyFill="1" applyBorder="1" applyAlignment="1">
      <alignment horizontal="center" vertical="center"/>
    </xf>
    <xf numFmtId="0" fontId="19" fillId="17" borderId="0" xfId="0" applyFont="1" applyFill="1" applyBorder="1"/>
    <xf numFmtId="167" fontId="34" fillId="0" borderId="0" xfId="4" applyNumberFormat="1" applyFont="1"/>
    <xf numFmtId="171" fontId="66" fillId="20" borderId="0" xfId="9" applyNumberFormat="1" applyFont="1" applyFill="1" applyBorder="1" applyAlignment="1" applyProtection="1">
      <alignment horizontal="left" vertical="center"/>
    </xf>
    <xf numFmtId="3" fontId="10" fillId="8" borderId="19" xfId="4" applyNumberFormat="1" applyFont="1" applyFill="1" applyBorder="1" applyAlignment="1">
      <alignment horizontal="center"/>
    </xf>
    <xf numFmtId="168" fontId="47" fillId="36" borderId="31" xfId="4" applyFont="1" applyFill="1" applyBorder="1" applyAlignment="1">
      <alignment horizontal="center" vertical="center"/>
    </xf>
    <xf numFmtId="168" fontId="30" fillId="27" borderId="32" xfId="4" applyFont="1" applyFill="1" applyBorder="1" applyAlignment="1">
      <alignment horizontal="left" vertical="center"/>
    </xf>
    <xf numFmtId="168" fontId="60" fillId="0" borderId="34" xfId="4" applyFont="1" applyBorder="1" applyAlignment="1">
      <alignment horizontal="center" vertical="center"/>
    </xf>
    <xf numFmtId="164" fontId="61" fillId="29" borderId="0" xfId="9" applyNumberFormat="1" applyFill="1" applyBorder="1" applyAlignment="1">
      <alignment horizontal="center"/>
    </xf>
    <xf numFmtId="164" fontId="39" fillId="22" borderId="37" xfId="4" applyNumberFormat="1" applyFont="1" applyFill="1" applyBorder="1" applyAlignment="1">
      <alignment horizontal="center" vertical="center"/>
    </xf>
    <xf numFmtId="164" fontId="39" fillId="22" borderId="38" xfId="4" applyNumberFormat="1" applyFont="1" applyFill="1" applyBorder="1" applyAlignment="1">
      <alignment horizontal="center" vertical="center"/>
    </xf>
    <xf numFmtId="168" fontId="47" fillId="36" borderId="40" xfId="4" applyFont="1" applyFill="1" applyBorder="1" applyAlignment="1">
      <alignment horizontal="center" vertical="center"/>
    </xf>
    <xf numFmtId="168" fontId="48" fillId="41" borderId="32" xfId="4" applyFont="1" applyFill="1" applyBorder="1" applyAlignment="1">
      <alignment horizontal="left" vertical="top" wrapText="1"/>
    </xf>
    <xf numFmtId="168" fontId="10" fillId="10" borderId="41" xfId="4" applyFont="1" applyFill="1" applyBorder="1" applyAlignment="1">
      <alignment horizontal="center" vertical="center"/>
    </xf>
    <xf numFmtId="168" fontId="57" fillId="31" borderId="11" xfId="4" applyFont="1" applyFill="1" applyBorder="1" applyAlignment="1">
      <alignment horizontal="center" vertical="center"/>
    </xf>
    <xf numFmtId="3" fontId="22" fillId="2" borderId="42" xfId="4" applyNumberFormat="1" applyFont="1" applyFill="1" applyBorder="1" applyAlignment="1">
      <alignment horizontal="right" vertical="center"/>
    </xf>
    <xf numFmtId="165" fontId="7" fillId="9" borderId="43" xfId="4" applyNumberFormat="1" applyFont="1" applyFill="1" applyBorder="1" applyAlignment="1">
      <alignment horizontal="center" vertical="center"/>
    </xf>
    <xf numFmtId="165" fontId="7" fillId="9" borderId="44" xfId="4" applyNumberFormat="1" applyFont="1" applyFill="1" applyBorder="1" applyAlignment="1">
      <alignment horizontal="center" vertical="center"/>
    </xf>
    <xf numFmtId="168" fontId="38" fillId="0" borderId="0" xfId="4" applyFont="1" applyBorder="1" applyAlignment="1">
      <alignment horizontal="left"/>
    </xf>
    <xf numFmtId="168" fontId="75" fillId="17" borderId="0" xfId="4" applyFont="1" applyFill="1" applyBorder="1" applyAlignment="1">
      <alignment horizontal="center" vertical="center"/>
    </xf>
    <xf numFmtId="168" fontId="76" fillId="17" borderId="0" xfId="4" applyFont="1" applyFill="1" applyBorder="1" applyAlignment="1">
      <alignment horizontal="center" vertical="center"/>
    </xf>
    <xf numFmtId="168" fontId="77" fillId="17" borderId="0" xfId="4" applyFont="1" applyFill="1" applyBorder="1" applyAlignment="1">
      <alignment horizontal="center" vertical="center"/>
    </xf>
    <xf numFmtId="168" fontId="2" fillId="5" borderId="0" xfId="4" applyFill="1" applyBorder="1" applyAlignment="1">
      <alignment horizontal="center" vertical="center"/>
    </xf>
    <xf numFmtId="168" fontId="2" fillId="0" borderId="0" xfId="4" applyAlignment="1">
      <alignment horizontal="center" vertical="center"/>
    </xf>
    <xf numFmtId="165" fontId="2" fillId="5" borderId="0" xfId="4" applyNumberFormat="1" applyFill="1" applyBorder="1" applyAlignment="1">
      <alignment horizontal="center" vertical="center"/>
    </xf>
    <xf numFmtId="168" fontId="2" fillId="5" borderId="0" xfId="4" applyFill="1" applyAlignment="1">
      <alignment horizontal="center" vertical="center"/>
    </xf>
    <xf numFmtId="168" fontId="29" fillId="5" borderId="0" xfId="4" applyFont="1" applyFill="1" applyAlignment="1">
      <alignment horizontal="center" vertical="center"/>
    </xf>
    <xf numFmtId="168" fontId="34" fillId="0" borderId="0" xfId="4" applyFont="1" applyAlignment="1">
      <alignment horizontal="center" vertical="center"/>
    </xf>
    <xf numFmtId="168" fontId="2" fillId="0" borderId="0" xfId="4" applyAlignment="1">
      <alignment horizontal="right" vertical="center"/>
    </xf>
    <xf numFmtId="168" fontId="2" fillId="5" borderId="0" xfId="4" applyFill="1" applyAlignment="1">
      <alignment horizontal="right" vertical="center"/>
    </xf>
    <xf numFmtId="168" fontId="34" fillId="0" borderId="0" xfId="4" applyFont="1" applyAlignment="1">
      <alignment horizontal="right" vertical="center"/>
    </xf>
    <xf numFmtId="164" fontId="13" fillId="5" borderId="0" xfId="4" applyNumberFormat="1" applyFont="1" applyFill="1" applyBorder="1" applyAlignment="1">
      <alignment horizontal="center" vertical="center"/>
    </xf>
    <xf numFmtId="164" fontId="14" fillId="5" borderId="0" xfId="4" applyNumberFormat="1" applyFont="1" applyFill="1" applyBorder="1" applyAlignment="1">
      <alignment horizontal="center" vertical="center"/>
    </xf>
    <xf numFmtId="164" fontId="39" fillId="5" borderId="0" xfId="4" applyNumberFormat="1" applyFont="1" applyFill="1" applyBorder="1" applyAlignment="1">
      <alignment horizontal="center" vertical="center"/>
    </xf>
    <xf numFmtId="164" fontId="13" fillId="16" borderId="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8" fontId="2" fillId="17" borderId="0" xfId="4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168" fontId="75" fillId="5" borderId="0" xfId="4" applyFont="1" applyFill="1" applyAlignment="1">
      <alignment horizontal="center" vertical="center"/>
    </xf>
    <xf numFmtId="168" fontId="75" fillId="5" borderId="0" xfId="4" applyFont="1" applyFill="1" applyBorder="1" applyAlignment="1">
      <alignment horizontal="center" vertical="center"/>
    </xf>
    <xf numFmtId="168" fontId="75" fillId="0" borderId="0" xfId="4" applyFont="1" applyAlignment="1">
      <alignment horizontal="center" vertical="center"/>
    </xf>
    <xf numFmtId="168" fontId="75" fillId="0" borderId="0" xfId="4" applyFont="1" applyAlignment="1">
      <alignment horizontal="right" vertical="center"/>
    </xf>
    <xf numFmtId="168" fontId="75" fillId="0" borderId="0" xfId="4" applyFont="1"/>
    <xf numFmtId="168" fontId="75" fillId="5" borderId="0" xfId="4" applyFont="1" applyFill="1" applyBorder="1"/>
    <xf numFmtId="168" fontId="75" fillId="16" borderId="0" xfId="4" applyFont="1" applyFill="1" applyBorder="1" applyAlignment="1">
      <alignment horizontal="center" vertical="center"/>
    </xf>
    <xf numFmtId="168" fontId="75" fillId="5" borderId="0" xfId="4" applyFont="1" applyFill="1" applyAlignment="1">
      <alignment horizontal="center"/>
    </xf>
    <xf numFmtId="168" fontId="75" fillId="0" borderId="0" xfId="4" applyFont="1" applyAlignment="1">
      <alignment horizontal="center"/>
    </xf>
    <xf numFmtId="168" fontId="75" fillId="5" borderId="0" xfId="4" applyFont="1" applyFill="1" applyBorder="1" applyAlignment="1">
      <alignment horizontal="center"/>
    </xf>
    <xf numFmtId="168" fontId="60" fillId="0" borderId="0" xfId="4" applyFont="1" applyAlignment="1">
      <alignment horizontal="center" vertical="center"/>
    </xf>
    <xf numFmtId="3" fontId="53" fillId="32" borderId="0" xfId="4" applyNumberFormat="1" applyFont="1" applyFill="1" applyBorder="1" applyAlignment="1">
      <alignment horizontal="center" vertical="center"/>
    </xf>
    <xf numFmtId="168" fontId="60" fillId="14" borderId="0" xfId="4" applyFont="1" applyFill="1" applyBorder="1" applyAlignment="1">
      <alignment horizontal="center" vertical="center"/>
    </xf>
    <xf numFmtId="3" fontId="53" fillId="40" borderId="50" xfId="4" applyNumberFormat="1" applyFont="1" applyFill="1" applyBorder="1" applyAlignment="1">
      <alignment horizontal="center" vertical="center"/>
    </xf>
    <xf numFmtId="165" fontId="53" fillId="2" borderId="52" xfId="4" applyNumberFormat="1" applyFont="1" applyFill="1" applyBorder="1" applyAlignment="1">
      <alignment horizontal="right" vertical="center"/>
    </xf>
    <xf numFmtId="168" fontId="50" fillId="33" borderId="53" xfId="4" applyFont="1" applyFill="1" applyBorder="1" applyAlignment="1">
      <alignment horizontal="center" vertical="center"/>
    </xf>
    <xf numFmtId="168" fontId="50" fillId="33" borderId="0" xfId="4" applyFont="1" applyFill="1" applyBorder="1" applyAlignment="1">
      <alignment horizontal="center" vertical="center"/>
    </xf>
    <xf numFmtId="164" fontId="39" fillId="30" borderId="27" xfId="4" applyNumberFormat="1" applyFont="1" applyFill="1" applyBorder="1" applyAlignment="1">
      <alignment horizontal="center" vertical="center"/>
    </xf>
    <xf numFmtId="49" fontId="2" fillId="0" borderId="0" xfId="4" applyNumberFormat="1" applyAlignment="1">
      <alignment horizontal="center" vertical="center"/>
    </xf>
    <xf numFmtId="168" fontId="0" fillId="0" borderId="0" xfId="0" applyNumberFormat="1"/>
    <xf numFmtId="0" fontId="81" fillId="0" borderId="0" xfId="0" applyFont="1"/>
    <xf numFmtId="165" fontId="53" fillId="47" borderId="18" xfId="4" applyNumberFormat="1" applyFont="1" applyFill="1" applyBorder="1" applyAlignment="1">
      <alignment horizontal="right" vertical="center"/>
    </xf>
    <xf numFmtId="165" fontId="7" fillId="48" borderId="13" xfId="4" applyNumberFormat="1" applyFont="1" applyFill="1" applyBorder="1" applyAlignment="1">
      <alignment horizontal="center" vertical="center"/>
    </xf>
    <xf numFmtId="168" fontId="82" fillId="0" borderId="0" xfId="4" applyFont="1"/>
    <xf numFmtId="168" fontId="36" fillId="14" borderId="3" xfId="4" applyFont="1" applyFill="1" applyBorder="1" applyAlignment="1" applyProtection="1">
      <alignment horizontal="left" vertical="center"/>
      <protection locked="0"/>
    </xf>
    <xf numFmtId="168" fontId="7" fillId="12" borderId="0" xfId="4" applyFont="1" applyFill="1" applyBorder="1" applyAlignment="1" applyProtection="1">
      <alignment horizontal="center" vertical="center"/>
    </xf>
    <xf numFmtId="168" fontId="2" fillId="0" borderId="0" xfId="4" applyProtection="1">
      <protection locked="0"/>
    </xf>
    <xf numFmtId="164" fontId="12" fillId="5" borderId="30" xfId="4" applyNumberFormat="1" applyFont="1" applyFill="1" applyBorder="1" applyAlignment="1" applyProtection="1">
      <alignment horizontal="center" vertical="center"/>
      <protection locked="0"/>
    </xf>
    <xf numFmtId="164" fontId="12" fillId="5" borderId="17" xfId="4" applyNumberFormat="1" applyFont="1" applyFill="1" applyBorder="1" applyAlignment="1" applyProtection="1">
      <alignment horizontal="center" vertical="center"/>
      <protection locked="0"/>
    </xf>
    <xf numFmtId="164" fontId="41" fillId="22" borderId="8" xfId="4" applyNumberFormat="1" applyFont="1" applyFill="1" applyBorder="1" applyAlignment="1" applyProtection="1">
      <alignment horizontal="center" vertical="center"/>
      <protection locked="0"/>
    </xf>
    <xf numFmtId="164" fontId="41" fillId="22" borderId="46" xfId="4" applyNumberFormat="1" applyFont="1" applyFill="1" applyBorder="1" applyAlignment="1" applyProtection="1">
      <alignment horizontal="center" vertical="center"/>
      <protection locked="0"/>
    </xf>
    <xf numFmtId="168" fontId="79" fillId="5" borderId="3" xfId="4" applyFont="1" applyFill="1" applyBorder="1" applyProtection="1"/>
    <xf numFmtId="168" fontId="79" fillId="5" borderId="8" xfId="4" applyFont="1" applyFill="1" applyBorder="1" applyProtection="1">
      <protection locked="0"/>
    </xf>
    <xf numFmtId="168" fontId="79" fillId="5" borderId="3" xfId="4" applyFont="1" applyFill="1" applyBorder="1" applyProtection="1">
      <protection locked="0"/>
    </xf>
    <xf numFmtId="168" fontId="79" fillId="5" borderId="46" xfId="4" applyFont="1" applyFill="1" applyBorder="1" applyProtection="1">
      <protection locked="0"/>
    </xf>
    <xf numFmtId="168" fontId="79" fillId="5" borderId="47" xfId="4" applyFont="1" applyFill="1" applyBorder="1" applyProtection="1">
      <protection locked="0"/>
    </xf>
    <xf numFmtId="168" fontId="82" fillId="0" borderId="0" xfId="4" applyFont="1" applyAlignment="1">
      <alignment horizontal="center" vertical="center"/>
    </xf>
    <xf numFmtId="168" fontId="68" fillId="17" borderId="0" xfId="4" applyFont="1" applyFill="1" applyBorder="1" applyAlignment="1">
      <alignment horizontal="left" vertical="center"/>
    </xf>
    <xf numFmtId="168" fontId="82" fillId="0" borderId="0" xfId="4" applyFont="1" applyBorder="1" applyAlignment="1">
      <alignment horizontal="center" vertical="center"/>
    </xf>
    <xf numFmtId="168" fontId="90" fillId="0" borderId="0" xfId="4" applyFont="1" applyBorder="1" applyAlignment="1">
      <alignment horizontal="center" vertical="center"/>
    </xf>
    <xf numFmtId="168" fontId="90" fillId="5" borderId="0" xfId="4" applyFont="1" applyFill="1" applyBorder="1" applyAlignment="1">
      <alignment horizontal="center" vertical="center"/>
    </xf>
    <xf numFmtId="168" fontId="82" fillId="0" borderId="0" xfId="4" applyFont="1" applyBorder="1" applyAlignment="1">
      <alignment horizontal="right" vertical="center"/>
    </xf>
    <xf numFmtId="167" fontId="82" fillId="0" borderId="0" xfId="4" applyNumberFormat="1" applyFont="1" applyAlignment="1">
      <alignment horizontal="center" vertical="center"/>
    </xf>
    <xf numFmtId="0" fontId="91" fillId="0" borderId="0" xfId="0" applyFont="1" applyAlignment="1">
      <alignment horizontal="left"/>
    </xf>
    <xf numFmtId="168" fontId="82" fillId="0" borderId="0" xfId="4" applyFont="1" applyAlignment="1">
      <alignment horizontal="center"/>
    </xf>
    <xf numFmtId="4" fontId="82" fillId="0" borderId="0" xfId="4" applyNumberFormat="1" applyFont="1" applyAlignment="1">
      <alignment horizontal="right" vertical="center"/>
    </xf>
    <xf numFmtId="168" fontId="82" fillId="0" borderId="0" xfId="4" applyFont="1" applyBorder="1"/>
    <xf numFmtId="167" fontId="82" fillId="0" borderId="0" xfId="4" applyNumberFormat="1" applyFont="1" applyBorder="1" applyAlignment="1" applyProtection="1">
      <alignment horizontal="center" vertical="center"/>
      <protection locked="0"/>
    </xf>
    <xf numFmtId="167" fontId="82" fillId="0" borderId="0" xfId="4" applyNumberFormat="1" applyFont="1" applyBorder="1" applyAlignment="1">
      <alignment horizontal="center" vertical="center"/>
    </xf>
    <xf numFmtId="165" fontId="79" fillId="5" borderId="3" xfId="4" applyNumberFormat="1" applyFont="1" applyFill="1" applyBorder="1" applyAlignment="1" applyProtection="1">
      <alignment horizontal="center" vertical="center"/>
      <protection locked="0"/>
    </xf>
    <xf numFmtId="168" fontId="93" fillId="23" borderId="3" xfId="4" applyFont="1" applyFill="1" applyBorder="1" applyAlignment="1" applyProtection="1">
      <alignment horizontal="left" vertical="center"/>
      <protection locked="0"/>
    </xf>
    <xf numFmtId="168" fontId="47" fillId="46" borderId="51" xfId="4" applyFont="1" applyFill="1" applyBorder="1" applyAlignment="1" applyProtection="1">
      <alignment vertical="center"/>
      <protection locked="0"/>
    </xf>
    <xf numFmtId="165" fontId="16" fillId="9" borderId="64" xfId="4" applyNumberFormat="1" applyFont="1" applyFill="1" applyBorder="1" applyAlignment="1">
      <alignment horizontal="left" vertical="center"/>
    </xf>
    <xf numFmtId="168" fontId="94" fillId="5" borderId="0" xfId="4" applyFont="1" applyFill="1" applyBorder="1" applyAlignment="1">
      <alignment horizontal="center"/>
    </xf>
    <xf numFmtId="168" fontId="89" fillId="0" borderId="3" xfId="4" applyFont="1" applyBorder="1"/>
    <xf numFmtId="168" fontId="47" fillId="36" borderId="70" xfId="4" applyFont="1" applyFill="1" applyBorder="1" applyAlignment="1">
      <alignment horizontal="center" vertical="center"/>
    </xf>
    <xf numFmtId="165" fontId="11" fillId="5" borderId="69" xfId="4" applyNumberFormat="1" applyFont="1" applyFill="1" applyBorder="1" applyAlignment="1" applyProtection="1">
      <alignment horizontal="center" vertical="center"/>
      <protection locked="0"/>
    </xf>
    <xf numFmtId="165" fontId="11" fillId="5" borderId="71" xfId="4" applyNumberFormat="1" applyFont="1" applyFill="1" applyBorder="1" applyAlignment="1" applyProtection="1">
      <alignment horizontal="center" vertical="center"/>
      <protection locked="0"/>
    </xf>
    <xf numFmtId="168" fontId="47" fillId="36" borderId="73" xfId="4" applyFont="1" applyFill="1" applyBorder="1" applyAlignment="1">
      <alignment horizontal="center" vertical="center"/>
    </xf>
    <xf numFmtId="0" fontId="43" fillId="0" borderId="0" xfId="0" applyFont="1"/>
    <xf numFmtId="49" fontId="60" fillId="0" borderId="0" xfId="4" applyNumberFormat="1" applyFont="1" applyAlignment="1">
      <alignment horizontal="center" vertical="center"/>
    </xf>
    <xf numFmtId="168" fontId="47" fillId="49" borderId="49" xfId="4" applyFont="1" applyFill="1" applyBorder="1" applyAlignment="1">
      <alignment horizontal="left" vertical="center"/>
    </xf>
    <xf numFmtId="168" fontId="71" fillId="16" borderId="0" xfId="4" applyFont="1" applyFill="1" applyBorder="1" applyAlignment="1">
      <alignment horizontal="center"/>
    </xf>
    <xf numFmtId="168" fontId="51" fillId="45" borderId="35" xfId="4" applyFont="1" applyFill="1" applyBorder="1" applyAlignment="1" applyProtection="1">
      <alignment horizontal="left" vertical="center"/>
    </xf>
    <xf numFmtId="168" fontId="51" fillId="45" borderId="36" xfId="4" applyFont="1" applyFill="1" applyBorder="1" applyAlignment="1" applyProtection="1">
      <alignment horizontal="left" vertical="center"/>
    </xf>
    <xf numFmtId="164" fontId="12" fillId="5" borderId="79" xfId="4" applyNumberFormat="1" applyFont="1" applyFill="1" applyBorder="1" applyAlignment="1" applyProtection="1">
      <alignment horizontal="center" vertical="center"/>
      <protection locked="0"/>
    </xf>
    <xf numFmtId="165" fontId="11" fillId="5" borderId="80" xfId="4" applyNumberFormat="1" applyFont="1" applyFill="1" applyBorder="1" applyAlignment="1" applyProtection="1">
      <alignment horizontal="center" vertical="center"/>
      <protection locked="0"/>
    </xf>
    <xf numFmtId="165" fontId="7" fillId="9" borderId="64" xfId="4" applyNumberFormat="1" applyFont="1" applyFill="1" applyBorder="1" applyAlignment="1">
      <alignment horizontal="left" vertical="center"/>
    </xf>
    <xf numFmtId="168" fontId="96" fillId="21" borderId="0" xfId="4" applyFont="1" applyFill="1" applyBorder="1" applyAlignment="1" applyProtection="1">
      <alignment horizontal="left" vertical="center"/>
      <protection locked="0"/>
    </xf>
    <xf numFmtId="164" fontId="39" fillId="56" borderId="0" xfId="4" applyNumberFormat="1" applyFont="1" applyFill="1" applyBorder="1" applyAlignment="1">
      <alignment horizontal="center" vertical="center"/>
    </xf>
    <xf numFmtId="165" fontId="21" fillId="20" borderId="0" xfId="4" applyNumberFormat="1" applyFont="1" applyFill="1" applyBorder="1"/>
    <xf numFmtId="165" fontId="92" fillId="20" borderId="0" xfId="4" applyNumberFormat="1" applyFont="1" applyFill="1" applyBorder="1" applyAlignment="1" applyProtection="1">
      <alignment horizontal="right" vertical="center"/>
      <protection locked="0"/>
    </xf>
    <xf numFmtId="166" fontId="70" fillId="20" borderId="0" xfId="2" applyNumberFormat="1" applyFont="1" applyFill="1" applyBorder="1" applyAlignment="1" applyProtection="1">
      <alignment vertical="center"/>
    </xf>
    <xf numFmtId="165" fontId="79" fillId="16" borderId="0" xfId="4" applyNumberFormat="1" applyFont="1" applyFill="1" applyBorder="1" applyAlignment="1" applyProtection="1">
      <alignment horizontal="center" vertical="center"/>
      <protection locked="0"/>
    </xf>
    <xf numFmtId="168" fontId="89" fillId="0" borderId="0" xfId="4" applyFont="1"/>
    <xf numFmtId="168" fontId="82" fillId="0" borderId="4" xfId="4" applyFont="1" applyBorder="1" applyAlignment="1">
      <alignment horizontal="center" vertical="center"/>
    </xf>
    <xf numFmtId="168" fontId="82" fillId="0" borderId="84" xfId="4" applyFont="1" applyBorder="1" applyAlignment="1">
      <alignment horizontal="center"/>
    </xf>
    <xf numFmtId="168" fontId="82" fillId="0" borderId="84" xfId="4" applyFont="1" applyBorder="1" applyAlignment="1">
      <alignment horizontal="center" vertical="center"/>
    </xf>
    <xf numFmtId="168" fontId="89" fillId="0" borderId="85" xfId="4" applyFont="1" applyBorder="1" applyAlignment="1">
      <alignment horizontal="right" vertical="center"/>
    </xf>
    <xf numFmtId="168" fontId="2" fillId="0" borderId="86" xfId="4" applyBorder="1" applyAlignment="1">
      <alignment horizontal="center" vertical="center"/>
    </xf>
    <xf numFmtId="166" fontId="99" fillId="3" borderId="9" xfId="2" applyNumberFormat="1" applyFont="1" applyBorder="1" applyAlignment="1" applyProtection="1">
      <alignment vertical="center"/>
    </xf>
    <xf numFmtId="168" fontId="48" fillId="41" borderId="82" xfId="4" applyFont="1" applyFill="1" applyBorder="1" applyAlignment="1">
      <alignment horizontal="left" vertical="top" wrapText="1"/>
    </xf>
    <xf numFmtId="164" fontId="10" fillId="14" borderId="83" xfId="4" applyNumberFormat="1" applyFont="1" applyFill="1" applyBorder="1" applyAlignment="1">
      <alignment horizontal="center" vertical="center"/>
    </xf>
    <xf numFmtId="165" fontId="10" fillId="14" borderId="88" xfId="4" applyNumberFormat="1" applyFont="1" applyFill="1" applyBorder="1" applyAlignment="1">
      <alignment horizontal="center" vertical="center"/>
    </xf>
    <xf numFmtId="165" fontId="7" fillId="9" borderId="89" xfId="4" applyNumberFormat="1" applyFont="1" applyFill="1" applyBorder="1" applyAlignment="1">
      <alignment horizontal="right" vertical="center"/>
    </xf>
    <xf numFmtId="3" fontId="22" fillId="2" borderId="90" xfId="4" applyNumberFormat="1" applyFont="1" applyFill="1" applyBorder="1" applyAlignment="1">
      <alignment horizontal="right" vertical="center"/>
    </xf>
    <xf numFmtId="165" fontId="7" fillId="9" borderId="91" xfId="4" applyNumberFormat="1" applyFont="1" applyFill="1" applyBorder="1" applyAlignment="1">
      <alignment horizontal="center" vertical="center"/>
    </xf>
    <xf numFmtId="165" fontId="7" fillId="9" borderId="88" xfId="4" applyNumberFormat="1" applyFont="1" applyFill="1" applyBorder="1" applyAlignment="1">
      <alignment horizontal="center" vertical="center"/>
    </xf>
    <xf numFmtId="165" fontId="7" fillId="9" borderId="92" xfId="4" applyNumberFormat="1" applyFont="1" applyFill="1" applyBorder="1" applyAlignment="1">
      <alignment horizontal="center" vertical="center"/>
    </xf>
    <xf numFmtId="3" fontId="88" fillId="3" borderId="94" xfId="2" applyNumberFormat="1" applyFont="1" applyBorder="1" applyAlignment="1" applyProtection="1">
      <alignment horizontal="center" vertical="center"/>
    </xf>
    <xf numFmtId="168" fontId="96" fillId="23" borderId="12" xfId="4" applyFont="1" applyFill="1" applyBorder="1" applyAlignment="1" applyProtection="1">
      <alignment horizontal="left" vertical="center"/>
      <protection locked="0"/>
    </xf>
    <xf numFmtId="168" fontId="96" fillId="23" borderId="95" xfId="4" applyFont="1" applyFill="1" applyBorder="1" applyAlignment="1" applyProtection="1">
      <alignment horizontal="left" vertical="center"/>
      <protection locked="0"/>
    </xf>
    <xf numFmtId="164" fontId="39" fillId="30" borderId="96" xfId="4" applyNumberFormat="1" applyFont="1" applyFill="1" applyBorder="1" applyAlignment="1">
      <alignment horizontal="center" vertical="center"/>
    </xf>
    <xf numFmtId="165" fontId="21" fillId="3" borderId="86" xfId="4" applyNumberFormat="1" applyFont="1" applyFill="1" applyBorder="1"/>
    <xf numFmtId="166" fontId="99" fillId="3" borderId="97" xfId="2" applyNumberFormat="1" applyFont="1" applyBorder="1" applyAlignment="1" applyProtection="1">
      <alignment vertical="center"/>
    </xf>
    <xf numFmtId="165" fontId="79" fillId="5" borderId="98" xfId="4" applyNumberFormat="1" applyFont="1" applyFill="1" applyBorder="1" applyAlignment="1" applyProtection="1">
      <alignment horizontal="center" vertical="center"/>
      <protection locked="0"/>
    </xf>
    <xf numFmtId="3" fontId="88" fillId="3" borderId="19" xfId="2" applyNumberFormat="1" applyFont="1" applyBorder="1" applyAlignment="1" applyProtection="1">
      <alignment horizontal="center" vertical="center"/>
    </xf>
    <xf numFmtId="168" fontId="89" fillId="0" borderId="83" xfId="4" applyFont="1" applyBorder="1" applyAlignment="1">
      <alignment horizontal="center" vertical="center"/>
    </xf>
    <xf numFmtId="168" fontId="89" fillId="16" borderId="83" xfId="4" applyFont="1" applyFill="1" applyBorder="1" applyAlignment="1">
      <alignment horizontal="center" vertical="center"/>
    </xf>
    <xf numFmtId="168" fontId="89" fillId="5" borderId="83" xfId="4" applyFont="1" applyFill="1" applyBorder="1" applyAlignment="1">
      <alignment horizontal="center" vertical="center"/>
    </xf>
    <xf numFmtId="168" fontId="82" fillId="0" borderId="83" xfId="4" applyFont="1" applyBorder="1" applyAlignment="1">
      <alignment horizontal="center" vertical="center"/>
    </xf>
    <xf numFmtId="168" fontId="89" fillId="0" borderId="83" xfId="4" applyFont="1" applyBorder="1" applyAlignment="1">
      <alignment horizontal="right" vertical="center"/>
    </xf>
    <xf numFmtId="1" fontId="67" fillId="17" borderId="105" xfId="4" applyNumberFormat="1" applyFont="1" applyFill="1" applyBorder="1" applyAlignment="1" applyProtection="1">
      <alignment horizontal="center" vertical="center"/>
      <protection locked="0"/>
    </xf>
    <xf numFmtId="168" fontId="82" fillId="0" borderId="106" xfId="4" applyFont="1" applyBorder="1"/>
    <xf numFmtId="168" fontId="89" fillId="0" borderId="106" xfId="4" applyFont="1" applyBorder="1" applyAlignment="1">
      <alignment horizontal="center" vertical="center"/>
    </xf>
    <xf numFmtId="168" fontId="89" fillId="0" borderId="106" xfId="4" applyFont="1" applyBorder="1"/>
    <xf numFmtId="168" fontId="82" fillId="0" borderId="106" xfId="4" applyFont="1" applyBorder="1" applyAlignment="1">
      <alignment horizontal="center" vertical="center"/>
    </xf>
    <xf numFmtId="168" fontId="89" fillId="0" borderId="107" xfId="4" applyFont="1" applyBorder="1" applyAlignment="1">
      <alignment horizontal="right" vertical="center"/>
    </xf>
    <xf numFmtId="168" fontId="82" fillId="0" borderId="102" xfId="4" applyFont="1" applyBorder="1" applyAlignment="1" applyProtection="1">
      <alignment horizontal="center" vertical="center"/>
      <protection locked="0"/>
    </xf>
    <xf numFmtId="168" fontId="82" fillId="0" borderId="102" xfId="4" applyFont="1" applyBorder="1" applyAlignment="1" applyProtection="1">
      <alignment vertical="center"/>
      <protection locked="0"/>
    </xf>
    <xf numFmtId="168" fontId="82" fillId="0" borderId="103" xfId="4" applyFont="1" applyBorder="1" applyAlignment="1" applyProtection="1">
      <alignment horizontal="center" vertical="center"/>
      <protection locked="0"/>
    </xf>
    <xf numFmtId="167" fontId="78" fillId="0" borderId="102" xfId="4" applyNumberFormat="1" applyFont="1" applyBorder="1" applyAlignment="1">
      <alignment vertical="center"/>
    </xf>
    <xf numFmtId="168" fontId="89" fillId="0" borderId="108" xfId="4" applyFont="1" applyBorder="1" applyAlignment="1">
      <alignment horizontal="center" vertical="center"/>
    </xf>
    <xf numFmtId="168" fontId="68" fillId="0" borderId="108" xfId="4" applyFont="1" applyBorder="1" applyAlignment="1">
      <alignment horizontal="center" vertical="center"/>
    </xf>
    <xf numFmtId="168" fontId="68" fillId="5" borderId="108" xfId="4" applyFont="1" applyFill="1" applyBorder="1" applyAlignment="1">
      <alignment horizontal="center" vertical="center"/>
    </xf>
    <xf numFmtId="167" fontId="82" fillId="0" borderId="83" xfId="4" applyNumberFormat="1" applyFont="1" applyBorder="1" applyAlignment="1">
      <alignment horizontal="center" vertical="center"/>
    </xf>
    <xf numFmtId="168" fontId="82" fillId="0" borderId="83" xfId="4" applyFont="1" applyBorder="1"/>
    <xf numFmtId="168" fontId="82" fillId="0" borderId="85" xfId="4" applyFont="1" applyBorder="1"/>
    <xf numFmtId="168" fontId="90" fillId="0" borderId="102" xfId="4" applyFont="1" applyBorder="1" applyAlignment="1" applyProtection="1">
      <alignment horizontal="center" vertical="center"/>
      <protection locked="0"/>
    </xf>
    <xf numFmtId="168" fontId="90" fillId="5" borderId="103" xfId="4" applyFont="1" applyFill="1" applyBorder="1" applyAlignment="1" applyProtection="1">
      <alignment horizontal="center" vertical="center"/>
      <protection locked="0"/>
    </xf>
    <xf numFmtId="168" fontId="82" fillId="0" borderId="86" xfId="4" applyFont="1" applyBorder="1" applyAlignment="1">
      <alignment horizontal="center" vertical="center"/>
    </xf>
    <xf numFmtId="168" fontId="82" fillId="0" borderId="86" xfId="4" applyFont="1" applyBorder="1"/>
    <xf numFmtId="168" fontId="90" fillId="0" borderId="102" xfId="4" applyFont="1" applyBorder="1"/>
    <xf numFmtId="168" fontId="82" fillId="0" borderId="19" xfId="4" applyFont="1" applyBorder="1"/>
    <xf numFmtId="168" fontId="82" fillId="0" borderId="109" xfId="4" applyFont="1" applyBorder="1" applyAlignment="1">
      <alignment horizontal="center" vertical="center"/>
    </xf>
    <xf numFmtId="168" fontId="82" fillId="0" borderId="109" xfId="4" applyFont="1" applyBorder="1"/>
    <xf numFmtId="168" fontId="82" fillId="0" borderId="109" xfId="4" applyFont="1" applyBorder="1" applyAlignment="1" applyProtection="1">
      <alignment horizontal="center" vertical="center"/>
      <protection locked="0"/>
    </xf>
    <xf numFmtId="168" fontId="89" fillId="0" borderId="109" xfId="4" applyFont="1" applyBorder="1"/>
    <xf numFmtId="168" fontId="82" fillId="0" borderId="109" xfId="4" applyFont="1" applyBorder="1" applyProtection="1">
      <protection locked="0"/>
    </xf>
    <xf numFmtId="0" fontId="74" fillId="0" borderId="0" xfId="0" applyFont="1" applyAlignment="1"/>
    <xf numFmtId="0" fontId="38" fillId="0" borderId="0" xfId="0" applyFont="1" applyAlignment="1"/>
    <xf numFmtId="168" fontId="2" fillId="0" borderId="0" xfId="4" applyAlignment="1">
      <alignment horizontal="center"/>
    </xf>
    <xf numFmtId="168" fontId="2" fillId="16" borderId="0" xfId="4" applyFill="1" applyBorder="1" applyAlignment="1">
      <alignment horizontal="center" vertical="center"/>
    </xf>
    <xf numFmtId="168" fontId="72" fillId="5" borderId="0" xfId="4" applyFont="1" applyFill="1" applyAlignment="1">
      <alignment horizontal="center" vertical="center"/>
    </xf>
    <xf numFmtId="167" fontId="78" fillId="0" borderId="101" xfId="4" applyNumberFormat="1" applyFont="1" applyBorder="1" applyAlignment="1">
      <alignment horizontal="center" vertical="center"/>
    </xf>
    <xf numFmtId="168" fontId="2" fillId="5" borderId="0" xfId="4" applyFill="1" applyBorder="1" applyAlignment="1">
      <alignment horizontal="left" vertical="center"/>
    </xf>
    <xf numFmtId="168" fontId="71" fillId="16" borderId="0" xfId="4" applyFont="1" applyFill="1" applyBorder="1" applyAlignment="1">
      <alignment horizontal="center"/>
    </xf>
    <xf numFmtId="164" fontId="13" fillId="37" borderId="15" xfId="4" applyNumberFormat="1" applyFont="1" applyFill="1" applyBorder="1" applyAlignment="1" applyProtection="1">
      <alignment horizontal="center" vertical="center"/>
      <protection locked="0"/>
    </xf>
    <xf numFmtId="164" fontId="13" fillId="37" borderId="63" xfId="4" applyNumberFormat="1" applyFont="1" applyFill="1" applyBorder="1" applyAlignment="1" applyProtection="1">
      <alignment horizontal="center" vertical="center"/>
      <protection locked="0"/>
    </xf>
    <xf numFmtId="166" fontId="105" fillId="5" borderId="110" xfId="4" applyNumberFormat="1" applyFont="1" applyFill="1" applyBorder="1" applyAlignment="1" applyProtection="1">
      <alignment horizontal="left" vertical="center"/>
    </xf>
    <xf numFmtId="164" fontId="42" fillId="7" borderId="26" xfId="4" applyNumberFormat="1" applyFont="1" applyFill="1" applyBorder="1" applyAlignment="1">
      <alignment horizontal="left" vertical="center"/>
    </xf>
    <xf numFmtId="168" fontId="9" fillId="6" borderId="5" xfId="4" applyFont="1" applyFill="1" applyBorder="1" applyAlignment="1" applyProtection="1">
      <alignment horizontal="center" vertical="center"/>
      <protection locked="0"/>
    </xf>
    <xf numFmtId="168" fontId="9" fillId="6" borderId="78" xfId="4" applyFont="1" applyFill="1" applyBorder="1" applyAlignment="1" applyProtection="1">
      <alignment horizontal="center" vertical="center"/>
      <protection locked="0"/>
    </xf>
    <xf numFmtId="168" fontId="44" fillId="21" borderId="15" xfId="4" applyFont="1" applyFill="1" applyBorder="1" applyAlignment="1" applyProtection="1">
      <alignment horizontal="center" vertical="center"/>
      <protection locked="0"/>
    </xf>
    <xf numFmtId="168" fontId="45" fillId="26" borderId="16" xfId="4" applyFont="1" applyFill="1" applyBorder="1" applyAlignment="1" applyProtection="1">
      <alignment horizontal="center" vertical="center"/>
      <protection locked="0"/>
    </xf>
    <xf numFmtId="168" fontId="44" fillId="21" borderId="16" xfId="4" applyFont="1" applyFill="1" applyBorder="1" applyAlignment="1" applyProtection="1">
      <alignment horizontal="center" vertical="center"/>
      <protection locked="0"/>
    </xf>
    <xf numFmtId="168" fontId="45" fillId="26" borderId="77" xfId="4" applyFont="1" applyFill="1" applyBorder="1" applyAlignment="1" applyProtection="1">
      <alignment horizontal="center" vertical="center"/>
      <protection locked="0"/>
    </xf>
    <xf numFmtId="0" fontId="97" fillId="34" borderId="113" xfId="0" applyFont="1" applyFill="1" applyBorder="1" applyAlignment="1">
      <alignment horizontal="center" vertical="center"/>
    </xf>
    <xf numFmtId="165" fontId="22" fillId="51" borderId="65" xfId="4" applyNumberFormat="1" applyFont="1" applyFill="1" applyBorder="1" applyAlignment="1">
      <alignment horizontal="left" vertical="top" wrapText="1"/>
    </xf>
    <xf numFmtId="164" fontId="25" fillId="7" borderId="115" xfId="4" applyNumberFormat="1" applyFont="1" applyFill="1" applyBorder="1" applyAlignment="1">
      <alignment horizontal="left" vertical="center"/>
    </xf>
    <xf numFmtId="164" fontId="42" fillId="7" borderId="116" xfId="4" applyNumberFormat="1" applyFont="1" applyFill="1" applyBorder="1" applyAlignment="1">
      <alignment horizontal="left" vertical="center"/>
    </xf>
    <xf numFmtId="167" fontId="98" fillId="44" borderId="2" xfId="4" applyNumberFormat="1" applyFont="1" applyFill="1" applyBorder="1" applyAlignment="1">
      <alignment horizontal="center" vertical="center"/>
    </xf>
    <xf numFmtId="2" fontId="98" fillId="44" borderId="2" xfId="4" applyNumberFormat="1" applyFont="1" applyFill="1" applyBorder="1" applyAlignment="1">
      <alignment horizontal="right" vertical="center"/>
    </xf>
    <xf numFmtId="164" fontId="39" fillId="30" borderId="117" xfId="4" applyNumberFormat="1" applyFont="1" applyFill="1" applyBorder="1" applyAlignment="1">
      <alignment horizontal="center" vertical="center"/>
    </xf>
    <xf numFmtId="1" fontId="56" fillId="11" borderId="2" xfId="4" applyNumberFormat="1" applyFont="1" applyFill="1" applyBorder="1" applyAlignment="1">
      <alignment horizontal="center" vertical="center"/>
    </xf>
    <xf numFmtId="167" fontId="9" fillId="6" borderId="24" xfId="4" applyNumberFormat="1" applyFont="1" applyFill="1" applyBorder="1" applyAlignment="1" applyProtection="1">
      <alignment horizontal="center" vertical="center"/>
      <protection locked="0"/>
    </xf>
    <xf numFmtId="168" fontId="20" fillId="10" borderId="0" xfId="4" applyFont="1" applyFill="1" applyBorder="1" applyAlignment="1">
      <alignment horizontal="center" vertical="center"/>
    </xf>
    <xf numFmtId="165" fontId="7" fillId="9" borderId="118" xfId="4" applyNumberFormat="1" applyFont="1" applyFill="1" applyBorder="1" applyAlignment="1">
      <alignment horizontal="center" vertical="center"/>
    </xf>
    <xf numFmtId="168" fontId="108" fillId="59" borderId="55" xfId="4" applyFont="1" applyFill="1" applyBorder="1" applyAlignment="1">
      <alignment horizontal="right" vertical="center"/>
    </xf>
    <xf numFmtId="168" fontId="108" fillId="59" borderId="56" xfId="4" applyFont="1" applyFill="1" applyBorder="1" applyAlignment="1">
      <alignment horizontal="center" vertical="center"/>
    </xf>
    <xf numFmtId="164" fontId="13" fillId="29" borderId="0" xfId="4" applyNumberFormat="1" applyFont="1" applyFill="1" applyBorder="1" applyAlignment="1">
      <alignment vertical="center"/>
    </xf>
    <xf numFmtId="168" fontId="50" fillId="17" borderId="0" xfId="4" applyFont="1" applyFill="1" applyBorder="1" applyAlignment="1">
      <alignment vertical="center"/>
    </xf>
    <xf numFmtId="167" fontId="98" fillId="17" borderId="2" xfId="4" applyNumberFormat="1" applyFont="1" applyFill="1" applyBorder="1" applyAlignment="1">
      <alignment horizontal="center" vertical="center"/>
    </xf>
    <xf numFmtId="164" fontId="11" fillId="8" borderId="2" xfId="4" applyNumberFormat="1" applyFont="1" applyFill="1" applyBorder="1" applyAlignment="1">
      <alignment horizontal="center" vertical="center"/>
    </xf>
    <xf numFmtId="168" fontId="62" fillId="0" borderId="0" xfId="4" applyFont="1" applyBorder="1" applyAlignment="1">
      <alignment horizontal="right"/>
    </xf>
    <xf numFmtId="168" fontId="34" fillId="0" borderId="0" xfId="4" applyFont="1" applyAlignment="1">
      <alignment horizontal="center" vertical="top"/>
    </xf>
    <xf numFmtId="168" fontId="87" fillId="53" borderId="66" xfId="4" applyFont="1" applyFill="1" applyBorder="1" applyAlignment="1" applyProtection="1">
      <alignment vertical="center"/>
      <protection locked="0"/>
    </xf>
    <xf numFmtId="168" fontId="109" fillId="17" borderId="0" xfId="4" applyFont="1" applyFill="1" applyBorder="1" applyAlignment="1">
      <alignment vertical="center"/>
    </xf>
    <xf numFmtId="168" fontId="109" fillId="17" borderId="0" xfId="4" applyFont="1" applyFill="1" applyBorder="1" applyAlignment="1">
      <alignment horizontal="left" vertical="center"/>
    </xf>
    <xf numFmtId="1" fontId="104" fillId="12" borderId="120" xfId="4" applyNumberFormat="1" applyFont="1" applyFill="1" applyBorder="1" applyAlignment="1" applyProtection="1">
      <alignment horizontal="center" vertical="center"/>
      <protection locked="0"/>
    </xf>
    <xf numFmtId="168" fontId="13" fillId="58" borderId="121" xfId="4" applyFont="1" applyFill="1" applyBorder="1" applyAlignment="1">
      <alignment horizontal="center" vertical="center" wrapText="1"/>
    </xf>
    <xf numFmtId="167" fontId="104" fillId="12" borderId="120" xfId="4" applyNumberFormat="1" applyFont="1" applyFill="1" applyBorder="1" applyAlignment="1" applyProtection="1">
      <alignment horizontal="center" vertical="center"/>
      <protection locked="0"/>
    </xf>
    <xf numFmtId="1" fontId="104" fillId="12" borderId="122" xfId="4" applyNumberFormat="1" applyFont="1" applyFill="1" applyBorder="1" applyAlignment="1" applyProtection="1">
      <alignment horizontal="center" vertical="center"/>
      <protection locked="0"/>
    </xf>
    <xf numFmtId="168" fontId="110" fillId="11" borderId="123" xfId="4" applyFont="1" applyFill="1" applyBorder="1" applyAlignment="1">
      <alignment horizontal="center" vertical="center"/>
    </xf>
    <xf numFmtId="164" fontId="117" fillId="29" borderId="0" xfId="9" applyNumberFormat="1" applyFont="1" applyFill="1" applyBorder="1" applyAlignment="1">
      <alignment horizontal="center"/>
    </xf>
    <xf numFmtId="168" fontId="13" fillId="58" borderId="124" xfId="4" applyFont="1" applyFill="1" applyBorder="1" applyAlignment="1">
      <alignment horizontal="center" vertical="center" wrapText="1"/>
    </xf>
    <xf numFmtId="1" fontId="104" fillId="12" borderId="53" xfId="4" applyNumberFormat="1" applyFont="1" applyFill="1" applyBorder="1" applyAlignment="1" applyProtection="1">
      <alignment horizontal="center" vertical="center"/>
      <protection locked="0"/>
    </xf>
    <xf numFmtId="168" fontId="13" fillId="58" borderId="120" xfId="4" applyFont="1" applyFill="1" applyBorder="1" applyAlignment="1">
      <alignment horizontal="center" vertical="center" wrapText="1"/>
    </xf>
    <xf numFmtId="167" fontId="104" fillId="12" borderId="122" xfId="4" applyNumberFormat="1" applyFont="1" applyFill="1" applyBorder="1" applyAlignment="1" applyProtection="1">
      <alignment horizontal="center" vertical="center"/>
      <protection locked="0"/>
    </xf>
    <xf numFmtId="0" fontId="119" fillId="0" borderId="0" xfId="0" applyFont="1"/>
    <xf numFmtId="168" fontId="89" fillId="0" borderId="102" xfId="4" applyFont="1" applyBorder="1" applyAlignment="1" applyProtection="1">
      <alignment horizontal="center" vertical="center"/>
      <protection locked="0"/>
    </xf>
    <xf numFmtId="4" fontId="67" fillId="17" borderId="104" xfId="4" applyNumberFormat="1" applyFont="1" applyFill="1" applyBorder="1" applyAlignment="1" applyProtection="1">
      <alignment horizontal="right" vertical="center"/>
      <protection locked="0"/>
    </xf>
    <xf numFmtId="4" fontId="89" fillId="0" borderId="81" xfId="4" applyNumberFormat="1" applyFont="1" applyBorder="1" applyAlignment="1" applyProtection="1">
      <alignment horizontal="right" vertical="center"/>
      <protection locked="0"/>
    </xf>
    <xf numFmtId="168" fontId="37" fillId="0" borderId="0" xfId="4" applyFont="1"/>
    <xf numFmtId="165" fontId="120" fillId="48" borderId="13" xfId="4" applyNumberFormat="1" applyFont="1" applyFill="1" applyBorder="1" applyAlignment="1">
      <alignment horizontal="left" vertical="center"/>
    </xf>
    <xf numFmtId="168" fontId="37" fillId="5" borderId="0" xfId="4" applyFont="1" applyFill="1" applyBorder="1"/>
    <xf numFmtId="0" fontId="0" fillId="0" borderId="0" xfId="0" applyAlignment="1">
      <alignment vertical="center"/>
    </xf>
    <xf numFmtId="168" fontId="36" fillId="43" borderId="127" xfId="4" applyFont="1" applyFill="1" applyBorder="1" applyAlignment="1">
      <alignment horizontal="center" vertical="center"/>
    </xf>
    <xf numFmtId="0" fontId="122" fillId="11" borderId="129" xfId="0" applyFont="1" applyFill="1" applyBorder="1" applyAlignment="1">
      <alignment horizontal="center" vertical="center"/>
    </xf>
    <xf numFmtId="168" fontId="123" fillId="63" borderId="29" xfId="4" applyFont="1" applyFill="1" applyBorder="1" applyAlignment="1">
      <alignment horizontal="center" vertical="center"/>
    </xf>
    <xf numFmtId="168" fontId="34" fillId="0" borderId="130" xfId="4" applyFont="1" applyBorder="1" applyAlignment="1">
      <alignment horizontal="center" vertical="center"/>
    </xf>
    <xf numFmtId="168" fontId="42" fillId="16" borderId="131" xfId="4" applyFont="1" applyFill="1" applyBorder="1" applyAlignment="1">
      <alignment horizontal="center" vertical="center"/>
    </xf>
    <xf numFmtId="168" fontId="124" fillId="60" borderId="114" xfId="4" applyFont="1" applyFill="1" applyBorder="1" applyAlignment="1">
      <alignment horizontal="center" vertical="center"/>
    </xf>
    <xf numFmtId="2" fontId="98" fillId="60" borderId="58" xfId="4" applyNumberFormat="1" applyFont="1" applyFill="1" applyBorder="1" applyAlignment="1">
      <alignment horizontal="center" vertical="center"/>
    </xf>
    <xf numFmtId="2" fontId="126" fillId="17" borderId="2" xfId="4" applyNumberFormat="1" applyFont="1" applyFill="1" applyBorder="1" applyAlignment="1">
      <alignment horizontal="center" vertical="center"/>
    </xf>
    <xf numFmtId="164" fontId="127" fillId="8" borderId="39" xfId="4" applyNumberFormat="1" applyFont="1" applyFill="1" applyBorder="1" applyAlignment="1">
      <alignment horizontal="center" vertical="center"/>
    </xf>
    <xf numFmtId="1" fontId="19" fillId="0" borderId="132" xfId="0" applyNumberFormat="1" applyFont="1" applyBorder="1" applyAlignment="1">
      <alignment horizontal="center" vertical="center"/>
    </xf>
    <xf numFmtId="1" fontId="34" fillId="5" borderId="133" xfId="4" applyNumberFormat="1" applyFont="1" applyFill="1" applyBorder="1" applyAlignment="1">
      <alignment horizontal="center" vertical="center"/>
    </xf>
    <xf numFmtId="168" fontId="106" fillId="12" borderId="0" xfId="4" applyFont="1" applyFill="1" applyBorder="1" applyAlignment="1">
      <alignment horizontal="center" vertical="center"/>
    </xf>
    <xf numFmtId="165" fontId="106" fillId="13" borderId="0" xfId="4" applyNumberFormat="1" applyFont="1" applyFill="1" applyBorder="1" applyAlignment="1">
      <alignment horizontal="center" vertical="center"/>
    </xf>
    <xf numFmtId="165" fontId="132" fillId="19" borderId="0" xfId="4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42" fillId="7" borderId="50" xfId="4" applyNumberFormat="1" applyFont="1" applyFill="1" applyBorder="1" applyAlignment="1">
      <alignment horizontal="center" vertical="center"/>
    </xf>
    <xf numFmtId="1" fontId="121" fillId="60" borderId="3" xfId="4" applyNumberFormat="1" applyFont="1" applyFill="1" applyBorder="1" applyAlignment="1">
      <alignment horizontal="center" vertical="center"/>
    </xf>
    <xf numFmtId="1" fontId="46" fillId="44" borderId="32" xfId="4" applyNumberFormat="1" applyFont="1" applyFill="1" applyBorder="1" applyAlignment="1">
      <alignment horizontal="center" vertical="center"/>
    </xf>
    <xf numFmtId="1" fontId="121" fillId="60" borderId="135" xfId="4" applyNumberFormat="1" applyFont="1" applyFill="1" applyBorder="1" applyAlignment="1">
      <alignment horizontal="center" vertical="center"/>
    </xf>
    <xf numFmtId="164" fontId="52" fillId="52" borderId="26" xfId="4" applyNumberFormat="1" applyFont="1" applyFill="1" applyBorder="1" applyAlignment="1">
      <alignment horizontal="left" vertical="center"/>
    </xf>
    <xf numFmtId="168" fontId="124" fillId="60" borderId="136" xfId="4" applyFont="1" applyFill="1" applyBorder="1" applyAlignment="1">
      <alignment horizontal="center" vertical="center"/>
    </xf>
    <xf numFmtId="168" fontId="125" fillId="60" borderId="3" xfId="0" applyNumberFormat="1" applyFont="1" applyFill="1" applyBorder="1" applyAlignment="1">
      <alignment horizontal="center" vertical="center"/>
    </xf>
    <xf numFmtId="164" fontId="36" fillId="28" borderId="3" xfId="4" applyNumberFormat="1" applyFont="1" applyFill="1" applyBorder="1" applyAlignment="1">
      <alignment horizontal="center" vertical="center"/>
    </xf>
    <xf numFmtId="168" fontId="59" fillId="21" borderId="67" xfId="4" applyFont="1" applyFill="1" applyBorder="1" applyAlignment="1" applyProtection="1">
      <alignment horizontal="left" vertical="center"/>
      <protection locked="0"/>
    </xf>
    <xf numFmtId="168" fontId="59" fillId="21" borderId="68" xfId="4" applyFont="1" applyFill="1" applyBorder="1" applyAlignment="1" applyProtection="1">
      <alignment horizontal="left" vertical="center"/>
      <protection locked="0"/>
    </xf>
    <xf numFmtId="168" fontId="59" fillId="21" borderId="76" xfId="4" applyFont="1" applyFill="1" applyBorder="1" applyAlignment="1" applyProtection="1">
      <alignment horizontal="left" vertical="center"/>
      <protection locked="0"/>
    </xf>
    <xf numFmtId="164" fontId="10" fillId="14" borderId="11" xfId="4" applyNumberFormat="1" applyFont="1" applyFill="1" applyBorder="1" applyAlignment="1">
      <alignment horizontal="center" vertical="center"/>
    </xf>
    <xf numFmtId="168" fontId="60" fillId="0" borderId="10" xfId="4" applyFont="1" applyBorder="1" applyAlignment="1">
      <alignment horizontal="center" vertical="center"/>
    </xf>
    <xf numFmtId="168" fontId="10" fillId="24" borderId="3" xfId="4" applyFont="1" applyFill="1" applyBorder="1" applyAlignment="1" applyProtection="1">
      <alignment horizontal="center" vertical="center"/>
    </xf>
    <xf numFmtId="164" fontId="12" fillId="25" borderId="3" xfId="4" applyNumberFormat="1" applyFont="1" applyFill="1" applyBorder="1" applyAlignment="1" applyProtection="1">
      <alignment horizontal="center" vertical="center"/>
    </xf>
    <xf numFmtId="165" fontId="11" fillId="25" borderId="3" xfId="4" applyNumberFormat="1" applyFont="1" applyFill="1" applyBorder="1" applyAlignment="1" applyProtection="1">
      <alignment horizontal="center" vertical="center"/>
    </xf>
    <xf numFmtId="168" fontId="10" fillId="24" borderId="47" xfId="4" applyFont="1" applyFill="1" applyBorder="1" applyAlignment="1" applyProtection="1">
      <alignment horizontal="center" vertical="center"/>
    </xf>
    <xf numFmtId="164" fontId="12" fillId="25" borderId="47" xfId="4" applyNumberFormat="1" applyFont="1" applyFill="1" applyBorder="1" applyAlignment="1" applyProtection="1">
      <alignment horizontal="center" vertical="center"/>
    </xf>
    <xf numFmtId="165" fontId="11" fillId="25" borderId="47" xfId="4" applyNumberFormat="1" applyFont="1" applyFill="1" applyBorder="1" applyAlignment="1" applyProtection="1">
      <alignment horizontal="center" vertical="center"/>
    </xf>
    <xf numFmtId="168" fontId="59" fillId="27" borderId="2" xfId="4" applyFont="1" applyFill="1" applyBorder="1" applyAlignment="1">
      <alignment horizontal="right"/>
    </xf>
    <xf numFmtId="168" fontId="7" fillId="35" borderId="2" xfId="4" applyFont="1" applyFill="1" applyBorder="1" applyAlignment="1">
      <alignment horizontal="center" vertical="center"/>
    </xf>
    <xf numFmtId="168" fontId="103" fillId="42" borderId="56" xfId="4" applyFont="1" applyFill="1" applyBorder="1" applyAlignment="1">
      <alignment horizontal="center"/>
    </xf>
    <xf numFmtId="167" fontId="56" fillId="60" borderId="53" xfId="4" applyNumberFormat="1" applyFont="1" applyFill="1" applyBorder="1" applyAlignment="1">
      <alignment horizontal="center" vertical="center"/>
    </xf>
    <xf numFmtId="168" fontId="2" fillId="0" borderId="45" xfId="4" applyBorder="1"/>
    <xf numFmtId="0" fontId="80" fillId="62" borderId="143" xfId="0" applyFont="1" applyFill="1" applyBorder="1" applyAlignment="1">
      <alignment horizontal="center" vertical="center"/>
    </xf>
    <xf numFmtId="168" fontId="107" fillId="60" borderId="3" xfId="4" applyFont="1" applyFill="1" applyBorder="1" applyAlignment="1">
      <alignment horizontal="center" vertical="center"/>
    </xf>
    <xf numFmtId="1" fontId="68" fillId="15" borderId="3" xfId="4" applyNumberFormat="1" applyFont="1" applyFill="1" applyBorder="1" applyAlignment="1" applyProtection="1">
      <alignment horizontal="center" vertical="center"/>
      <protection locked="0"/>
    </xf>
    <xf numFmtId="168" fontId="56" fillId="60" borderId="3" xfId="4" applyFont="1" applyFill="1" applyBorder="1" applyAlignment="1">
      <alignment horizontal="center" vertical="center"/>
    </xf>
    <xf numFmtId="167" fontId="56" fillId="60" borderId="3" xfId="4" applyNumberFormat="1" applyFont="1" applyFill="1" applyBorder="1" applyAlignment="1">
      <alignment horizontal="center" vertical="center"/>
    </xf>
    <xf numFmtId="3" fontId="56" fillId="60" borderId="112" xfId="4" applyNumberFormat="1" applyFont="1" applyFill="1" applyBorder="1" applyAlignment="1">
      <alignment horizontal="center" vertical="center"/>
    </xf>
    <xf numFmtId="168" fontId="115" fillId="27" borderId="145" xfId="4" applyFont="1" applyFill="1" applyBorder="1" applyAlignment="1">
      <alignment horizontal="center" vertical="center"/>
    </xf>
    <xf numFmtId="168" fontId="115" fillId="27" borderId="146" xfId="4" applyFont="1" applyFill="1" applyBorder="1" applyAlignment="1">
      <alignment horizontal="center" vertical="center"/>
    </xf>
    <xf numFmtId="168" fontId="115" fillId="27" borderId="147" xfId="4" applyFont="1" applyFill="1" applyBorder="1" applyAlignment="1">
      <alignment horizontal="center" vertical="center"/>
    </xf>
    <xf numFmtId="168" fontId="115" fillId="27" borderId="149" xfId="4" applyFont="1" applyFill="1" applyBorder="1" applyAlignment="1">
      <alignment horizontal="center" vertical="center"/>
    </xf>
    <xf numFmtId="168" fontId="115" fillId="27" borderId="150" xfId="4" applyFont="1" applyFill="1" applyBorder="1" applyAlignment="1">
      <alignment horizontal="center" vertical="center"/>
    </xf>
    <xf numFmtId="3" fontId="58" fillId="57" borderId="151" xfId="4" applyNumberFormat="1" applyFont="1" applyFill="1" applyBorder="1" applyAlignment="1">
      <alignment horizontal="center" vertical="center"/>
    </xf>
    <xf numFmtId="3" fontId="58" fillId="57" borderId="152" xfId="4" applyNumberFormat="1" applyFont="1" applyFill="1" applyBorder="1" applyAlignment="1">
      <alignment horizontal="center" vertical="center"/>
    </xf>
    <xf numFmtId="3" fontId="58" fillId="57" borderId="153" xfId="4" applyNumberFormat="1" applyFont="1" applyFill="1" applyBorder="1" applyAlignment="1">
      <alignment horizontal="center" vertical="center"/>
    </xf>
    <xf numFmtId="165" fontId="58" fillId="57" borderId="2" xfId="4" applyNumberFormat="1" applyFont="1" applyFill="1" applyBorder="1" applyAlignment="1">
      <alignment horizontal="center" vertical="center"/>
    </xf>
    <xf numFmtId="3" fontId="56" fillId="60" borderId="155" xfId="4" applyNumberFormat="1" applyFont="1" applyFill="1" applyBorder="1" applyAlignment="1">
      <alignment horizontal="center" vertical="center"/>
    </xf>
    <xf numFmtId="167" fontId="135" fillId="11" borderId="156" xfId="4" applyNumberFormat="1" applyFont="1" applyFill="1" applyBorder="1" applyAlignment="1">
      <alignment horizontal="center"/>
    </xf>
    <xf numFmtId="168" fontId="50" fillId="33" borderId="49" xfId="4" applyFont="1" applyFill="1" applyBorder="1" applyAlignment="1">
      <alignment horizontal="center" vertical="center"/>
    </xf>
    <xf numFmtId="3" fontId="67" fillId="15" borderId="35" xfId="4" applyNumberFormat="1" applyFont="1" applyFill="1" applyBorder="1" applyAlignment="1" applyProtection="1">
      <alignment horizontal="center" vertical="center"/>
      <protection locked="0"/>
    </xf>
    <xf numFmtId="168" fontId="34" fillId="0" borderId="157" xfId="4" applyFont="1" applyBorder="1" applyAlignment="1">
      <alignment horizontal="center" vertical="center"/>
    </xf>
    <xf numFmtId="168" fontId="34" fillId="0" borderId="134" xfId="4" applyFont="1" applyBorder="1" applyAlignment="1">
      <alignment horizontal="center" vertical="center"/>
    </xf>
    <xf numFmtId="168" fontId="129" fillId="60" borderId="158" xfId="4" applyFont="1" applyFill="1" applyBorder="1" applyAlignment="1">
      <alignment horizontal="center" vertical="center"/>
    </xf>
    <xf numFmtId="1" fontId="121" fillId="60" borderId="35" xfId="4" applyNumberFormat="1" applyFont="1" applyFill="1" applyBorder="1" applyAlignment="1">
      <alignment horizontal="center" vertical="center"/>
    </xf>
    <xf numFmtId="0" fontId="97" fillId="34" borderId="47" xfId="0" applyFont="1" applyFill="1" applyBorder="1" applyAlignment="1">
      <alignment horizontal="center" vertical="center"/>
    </xf>
    <xf numFmtId="2" fontId="98" fillId="60" borderId="57" xfId="4" applyNumberFormat="1" applyFont="1" applyFill="1" applyBorder="1" applyAlignment="1">
      <alignment horizontal="center" vertical="center"/>
    </xf>
    <xf numFmtId="3" fontId="134" fillId="55" borderId="54" xfId="4" applyNumberFormat="1" applyFont="1" applyFill="1" applyBorder="1" applyAlignment="1" applyProtection="1">
      <alignment horizontal="center" vertical="center"/>
      <protection locked="0"/>
    </xf>
    <xf numFmtId="3" fontId="134" fillId="55" borderId="142" xfId="4" applyNumberFormat="1" applyFont="1" applyFill="1" applyBorder="1" applyAlignment="1" applyProtection="1">
      <alignment horizontal="center" vertical="center"/>
      <protection locked="0"/>
    </xf>
    <xf numFmtId="0" fontId="0" fillId="17" borderId="0" xfId="0" applyFill="1" applyBorder="1" applyProtection="1">
      <protection locked="0"/>
    </xf>
    <xf numFmtId="164" fontId="136" fillId="8" borderId="2" xfId="4" applyNumberFormat="1" applyFont="1" applyFill="1" applyBorder="1" applyAlignment="1">
      <alignment horizontal="center" vertical="center"/>
    </xf>
    <xf numFmtId="164" fontId="9" fillId="66" borderId="74" xfId="4" applyNumberFormat="1" applyFont="1" applyFill="1" applyBorder="1" applyAlignment="1" applyProtection="1">
      <alignment horizontal="center" vertical="center"/>
      <protection locked="0"/>
    </xf>
    <xf numFmtId="164" fontId="9" fillId="66" borderId="72" xfId="4" applyNumberFormat="1" applyFont="1" applyFill="1" applyBorder="1" applyAlignment="1" applyProtection="1">
      <alignment horizontal="center" vertical="center"/>
      <protection locked="0"/>
    </xf>
    <xf numFmtId="164" fontId="9" fillId="66" borderId="120" xfId="4" applyNumberFormat="1" applyFont="1" applyFill="1" applyBorder="1" applyAlignment="1" applyProtection="1">
      <alignment horizontal="center" vertical="center"/>
      <protection locked="0"/>
    </xf>
    <xf numFmtId="164" fontId="122" fillId="64" borderId="2" xfId="4" applyNumberFormat="1" applyFont="1" applyFill="1" applyBorder="1" applyAlignment="1">
      <alignment horizontal="center" vertical="center"/>
    </xf>
    <xf numFmtId="0" fontId="127" fillId="60" borderId="137" xfId="0" applyFont="1" applyFill="1" applyBorder="1" applyAlignment="1">
      <alignment horizontal="center" vertical="center"/>
    </xf>
    <xf numFmtId="168" fontId="2" fillId="0" borderId="159" xfId="4" applyBorder="1"/>
    <xf numFmtId="1" fontId="46" fillId="17" borderId="2" xfId="4" applyNumberFormat="1" applyFont="1" applyFill="1" applyBorder="1" applyAlignment="1" applyProtection="1">
      <alignment horizontal="center" vertical="center"/>
      <protection locked="0"/>
    </xf>
    <xf numFmtId="168" fontId="50" fillId="33" borderId="0" xfId="4" applyFont="1" applyFill="1" applyBorder="1" applyAlignment="1" applyProtection="1">
      <alignment horizontal="center" vertical="center"/>
      <protection locked="0"/>
    </xf>
    <xf numFmtId="169" fontId="10" fillId="16" borderId="2" xfId="4" applyNumberFormat="1" applyFont="1" applyFill="1" applyBorder="1" applyAlignment="1" applyProtection="1">
      <alignment horizontal="center" vertical="center"/>
      <protection locked="0"/>
    </xf>
    <xf numFmtId="1" fontId="123" fillId="17" borderId="2" xfId="4" applyNumberFormat="1" applyFont="1" applyFill="1" applyBorder="1" applyAlignment="1" applyProtection="1">
      <alignment horizontal="center" vertical="center"/>
      <protection locked="0"/>
    </xf>
    <xf numFmtId="167" fontId="123" fillId="17" borderId="2" xfId="4" applyNumberFormat="1" applyFont="1" applyFill="1" applyBorder="1" applyAlignment="1" applyProtection="1">
      <alignment horizontal="center" vertical="center"/>
      <protection locked="0"/>
    </xf>
    <xf numFmtId="165" fontId="128" fillId="64" borderId="25" xfId="4" applyNumberFormat="1" applyFont="1" applyFill="1" applyBorder="1" applyAlignment="1" applyProtection="1">
      <alignment horizontal="center" vertical="center"/>
      <protection locked="0"/>
    </xf>
    <xf numFmtId="169" fontId="21" fillId="25" borderId="119" xfId="4" applyNumberFormat="1" applyFont="1" applyFill="1" applyBorder="1" applyAlignment="1" applyProtection="1">
      <alignment horizontal="center" vertical="center"/>
      <protection locked="0"/>
    </xf>
    <xf numFmtId="1" fontId="47" fillId="67" borderId="128" xfId="4" applyNumberFormat="1" applyFont="1" applyFill="1" applyBorder="1" applyAlignment="1" applyProtection="1">
      <alignment horizontal="center" vertical="center"/>
      <protection locked="0"/>
    </xf>
    <xf numFmtId="168" fontId="2" fillId="0" borderId="9" xfId="4" applyBorder="1"/>
    <xf numFmtId="1" fontId="130" fillId="17" borderId="2" xfId="4" applyNumberFormat="1" applyFont="1" applyFill="1" applyBorder="1" applyAlignment="1" applyProtection="1">
      <alignment horizontal="center" vertical="center"/>
    </xf>
    <xf numFmtId="168" fontId="60" fillId="0" borderId="2" xfId="4" applyFont="1" applyBorder="1" applyAlignment="1" applyProtection="1">
      <alignment horizontal="center" vertical="center"/>
    </xf>
    <xf numFmtId="168" fontId="131" fillId="17" borderId="2" xfId="4" applyFont="1" applyFill="1" applyBorder="1" applyAlignment="1" applyProtection="1">
      <alignment horizontal="center" vertical="center"/>
    </xf>
    <xf numFmtId="1" fontId="130" fillId="16" borderId="35" xfId="2" applyNumberFormat="1" applyFont="1" applyFill="1" applyBorder="1" applyAlignment="1" applyProtection="1">
      <alignment horizontal="center" vertical="center"/>
    </xf>
    <xf numFmtId="0" fontId="43" fillId="17" borderId="3" xfId="0" applyFont="1" applyFill="1" applyBorder="1" applyAlignment="1" applyProtection="1">
      <alignment horizontal="center" vertical="center"/>
    </xf>
    <xf numFmtId="0" fontId="63" fillId="17" borderId="54" xfId="0" applyFont="1" applyFill="1" applyBorder="1" applyAlignment="1" applyProtection="1">
      <alignment horizontal="center" vertical="center"/>
      <protection locked="0"/>
    </xf>
    <xf numFmtId="0" fontId="43" fillId="17" borderId="59" xfId="0" applyFont="1" applyFill="1" applyBorder="1" applyAlignment="1" applyProtection="1">
      <alignment horizontal="center" vertical="center"/>
      <protection locked="0"/>
    </xf>
    <xf numFmtId="2" fontId="98" fillId="11" borderId="2" xfId="4" applyNumberFormat="1" applyFont="1" applyFill="1" applyBorder="1" applyAlignment="1">
      <alignment horizontal="right" vertical="center"/>
    </xf>
    <xf numFmtId="166" fontId="137" fillId="68" borderId="23" xfId="4" applyNumberFormat="1" applyFont="1" applyFill="1" applyBorder="1" applyAlignment="1" applyProtection="1">
      <alignment horizontal="right" vertical="center"/>
    </xf>
    <xf numFmtId="166" fontId="138" fillId="68" borderId="9" xfId="2" applyNumberFormat="1" applyFont="1" applyFill="1" applyBorder="1" applyAlignment="1" applyProtection="1">
      <alignment vertical="center"/>
    </xf>
    <xf numFmtId="166" fontId="139" fillId="68" borderId="23" xfId="4" applyNumberFormat="1" applyFont="1" applyFill="1" applyBorder="1" applyAlignment="1" applyProtection="1">
      <alignment horizontal="right" vertical="center"/>
    </xf>
    <xf numFmtId="2" fontId="126" fillId="44" borderId="2" xfId="4" applyNumberFormat="1" applyFont="1" applyFill="1" applyBorder="1" applyAlignment="1">
      <alignment horizontal="right" vertical="center"/>
    </xf>
    <xf numFmtId="167" fontId="56" fillId="11" borderId="125" xfId="4" applyNumberFormat="1" applyFont="1" applyFill="1" applyBorder="1" applyAlignment="1">
      <alignment horizontal="center" vertical="center"/>
    </xf>
    <xf numFmtId="1" fontId="128" fillId="68" borderId="45" xfId="2" applyNumberFormat="1" applyFont="1" applyFill="1" applyBorder="1" applyAlignment="1" applyProtection="1">
      <alignment horizontal="center" vertical="center"/>
    </xf>
    <xf numFmtId="1" fontId="128" fillId="68" borderId="48" xfId="2" applyNumberFormat="1" applyFont="1" applyFill="1" applyBorder="1" applyAlignment="1" applyProtection="1">
      <alignment horizontal="center" vertical="center"/>
    </xf>
    <xf numFmtId="168" fontId="9" fillId="23" borderId="3" xfId="4" applyFont="1" applyFill="1" applyBorder="1" applyAlignment="1" applyProtection="1">
      <alignment horizontal="center"/>
    </xf>
    <xf numFmtId="168" fontId="9" fillId="23" borderId="47" xfId="4" applyFont="1" applyFill="1" applyBorder="1" applyAlignment="1" applyProtection="1">
      <alignment horizontal="center"/>
    </xf>
    <xf numFmtId="164" fontId="136" fillId="8" borderId="140" xfId="4" applyNumberFormat="1" applyFont="1" applyFill="1" applyBorder="1" applyAlignment="1">
      <alignment horizontal="center" vertical="center"/>
    </xf>
    <xf numFmtId="164" fontId="136" fillId="66" borderId="138" xfId="4" applyNumberFormat="1" applyFont="1" applyFill="1" applyBorder="1" applyAlignment="1" applyProtection="1">
      <alignment horizontal="center"/>
      <protection locked="0"/>
    </xf>
    <xf numFmtId="164" fontId="136" fillId="66" borderId="139" xfId="4" applyNumberFormat="1" applyFont="1" applyFill="1" applyBorder="1" applyAlignment="1" applyProtection="1">
      <alignment horizontal="center"/>
      <protection locked="0"/>
    </xf>
    <xf numFmtId="164" fontId="136" fillId="66" borderId="141" xfId="4" applyNumberFormat="1" applyFont="1" applyFill="1" applyBorder="1" applyAlignment="1" applyProtection="1">
      <alignment horizontal="center"/>
      <protection locked="0"/>
    </xf>
    <xf numFmtId="164" fontId="136" fillId="70" borderId="3" xfId="4" applyNumberFormat="1" applyFont="1" applyFill="1" applyBorder="1" applyAlignment="1" applyProtection="1">
      <alignment horizontal="center" vertical="center"/>
      <protection locked="0"/>
    </xf>
    <xf numFmtId="164" fontId="136" fillId="70" borderId="47" xfId="4" applyNumberFormat="1" applyFont="1" applyFill="1" applyBorder="1" applyAlignment="1" applyProtection="1">
      <alignment horizontal="center" vertical="center"/>
      <protection locked="0"/>
    </xf>
    <xf numFmtId="4" fontId="56" fillId="60" borderId="87" xfId="4" applyNumberFormat="1" applyFont="1" applyFill="1" applyBorder="1" applyAlignment="1">
      <alignment horizontal="right" vertical="center"/>
    </xf>
    <xf numFmtId="3" fontId="129" fillId="60" borderId="100" xfId="4" applyNumberFormat="1" applyFont="1" applyFill="1" applyBorder="1" applyAlignment="1" applyProtection="1">
      <alignment horizontal="center" vertical="center"/>
      <protection locked="0"/>
    </xf>
    <xf numFmtId="168" fontId="90" fillId="16" borderId="2" xfId="4" applyFont="1" applyFill="1" applyBorder="1" applyAlignment="1" applyProtection="1">
      <alignment horizontal="center" vertical="center"/>
      <protection locked="0"/>
    </xf>
    <xf numFmtId="168" fontId="90" fillId="16" borderId="2" xfId="4" applyFont="1" applyFill="1" applyBorder="1" applyAlignment="1" applyProtection="1">
      <alignment horizontal="center" vertical="center"/>
    </xf>
    <xf numFmtId="4" fontId="89" fillId="0" borderId="105" xfId="4" applyNumberFormat="1" applyFont="1" applyBorder="1" applyAlignment="1" applyProtection="1">
      <alignment horizontal="right" vertical="center"/>
    </xf>
    <xf numFmtId="168" fontId="136" fillId="65" borderId="6" xfId="4" applyFont="1" applyFill="1" applyBorder="1" applyAlignment="1">
      <alignment horizontal="left" vertical="center"/>
    </xf>
    <xf numFmtId="168" fontId="136" fillId="69" borderId="51" xfId="4" applyFont="1" applyFill="1" applyBorder="1" applyAlignment="1" applyProtection="1">
      <alignment vertical="center"/>
      <protection locked="0"/>
    </xf>
    <xf numFmtId="168" fontId="136" fillId="65" borderId="93" xfId="4" applyFont="1" applyFill="1" applyBorder="1" applyAlignment="1">
      <alignment horizontal="left" vertical="center"/>
    </xf>
    <xf numFmtId="3" fontId="138" fillId="54" borderId="2" xfId="4" applyNumberFormat="1" applyFont="1" applyFill="1" applyBorder="1" applyAlignment="1" applyProtection="1">
      <alignment horizontal="center" vertical="center"/>
    </xf>
    <xf numFmtId="168" fontId="2" fillId="0" borderId="154" xfId="4" applyBorder="1" applyAlignment="1">
      <alignment horizontal="center"/>
    </xf>
    <xf numFmtId="0" fontId="19" fillId="0" borderId="134" xfId="0" applyFont="1" applyBorder="1" applyAlignment="1">
      <alignment horizontal="center"/>
    </xf>
    <xf numFmtId="168" fontId="50" fillId="33" borderId="144" xfId="4" applyFont="1" applyFill="1" applyBorder="1" applyAlignment="1">
      <alignment horizontal="center" vertical="center"/>
    </xf>
    <xf numFmtId="168" fontId="50" fillId="33" borderId="111" xfId="4" applyFont="1" applyFill="1" applyBorder="1" applyAlignment="1">
      <alignment horizontal="center" vertical="center"/>
    </xf>
    <xf numFmtId="168" fontId="18" fillId="4" borderId="62" xfId="4" applyFont="1" applyFill="1" applyBorder="1" applyAlignment="1">
      <alignment horizontal="left" vertical="center"/>
    </xf>
    <xf numFmtId="168" fontId="18" fillId="4" borderId="33" xfId="4" applyFont="1" applyFill="1" applyBorder="1" applyAlignment="1">
      <alignment horizontal="left" vertical="center"/>
    </xf>
    <xf numFmtId="168" fontId="18" fillId="4" borderId="10" xfId="4" applyFont="1" applyFill="1" applyBorder="1" applyAlignment="1">
      <alignment horizontal="left" vertical="center"/>
    </xf>
    <xf numFmtId="168" fontId="95" fillId="50" borderId="10" xfId="4" applyFont="1" applyFill="1" applyBorder="1" applyAlignment="1">
      <alignment horizontal="center" vertical="center"/>
    </xf>
    <xf numFmtId="168" fontId="95" fillId="50" borderId="33" xfId="4" applyFont="1" applyFill="1" applyBorder="1" applyAlignment="1">
      <alignment horizontal="center" vertical="center"/>
    </xf>
    <xf numFmtId="168" fontId="95" fillId="50" borderId="34" xfId="4" applyFont="1" applyFill="1" applyBorder="1" applyAlignment="1">
      <alignment horizontal="center" vertical="center"/>
    </xf>
    <xf numFmtId="168" fontId="7" fillId="4" borderId="60" xfId="4" applyFont="1" applyFill="1" applyBorder="1" applyAlignment="1">
      <alignment horizontal="center" vertical="center"/>
    </xf>
    <xf numFmtId="168" fontId="7" fillId="4" borderId="28" xfId="4" applyFont="1" applyFill="1" applyBorder="1" applyAlignment="1">
      <alignment horizontal="center" vertical="center"/>
    </xf>
    <xf numFmtId="0" fontId="63" fillId="34" borderId="61" xfId="0" applyFont="1" applyFill="1" applyBorder="1" applyAlignment="1">
      <alignment horizontal="center" vertical="center"/>
    </xf>
    <xf numFmtId="0" fontId="63" fillId="34" borderId="75" xfId="0" applyFont="1" applyFill="1" applyBorder="1" applyAlignment="1">
      <alignment horizontal="center" vertical="center"/>
    </xf>
    <xf numFmtId="49" fontId="47" fillId="36" borderId="148" xfId="4" applyNumberFormat="1" applyFont="1" applyFill="1" applyBorder="1" applyAlignment="1">
      <alignment horizontal="center" vertical="center" wrapText="1"/>
    </xf>
    <xf numFmtId="3" fontId="122" fillId="65" borderId="160" xfId="4" applyNumberFormat="1" applyFont="1" applyFill="1" applyBorder="1" applyAlignment="1" applyProtection="1">
      <alignment horizontal="center" vertical="center"/>
      <protection locked="0"/>
    </xf>
    <xf numFmtId="168" fontId="111" fillId="0" borderId="0" xfId="4" applyFont="1" applyBorder="1" applyAlignment="1">
      <alignment horizontal="center" vertical="center"/>
    </xf>
    <xf numFmtId="172" fontId="140" fillId="57" borderId="0" xfId="4" applyNumberFormat="1" applyFont="1" applyFill="1" applyBorder="1" applyAlignment="1">
      <alignment horizontal="center" vertical="center"/>
    </xf>
    <xf numFmtId="168" fontId="53" fillId="57" borderId="0" xfId="4" applyFont="1" applyFill="1" applyBorder="1" applyAlignment="1">
      <alignment horizontal="left" vertical="center" wrapText="1"/>
    </xf>
    <xf numFmtId="168" fontId="2" fillId="0" borderId="2" xfId="4" applyBorder="1"/>
    <xf numFmtId="1" fontId="58" fillId="57" borderId="2" xfId="4" applyNumberFormat="1" applyFont="1" applyFill="1" applyBorder="1" applyAlignment="1">
      <alignment horizontal="center" vertical="center"/>
    </xf>
    <xf numFmtId="172" fontId="58" fillId="57" borderId="161" xfId="4" applyNumberFormat="1" applyFont="1" applyFill="1" applyBorder="1" applyAlignment="1">
      <alignment horizontal="center" vertical="center"/>
    </xf>
    <xf numFmtId="168" fontId="57" fillId="71" borderId="126" xfId="4" applyFont="1" applyFill="1" applyBorder="1" applyAlignment="1" applyProtection="1">
      <alignment horizontal="left" vertical="top"/>
    </xf>
    <xf numFmtId="168" fontId="57" fillId="71" borderId="84" xfId="4" applyFont="1" applyFill="1" applyBorder="1" applyAlignment="1" applyProtection="1">
      <alignment horizontal="left" vertical="top"/>
    </xf>
    <xf numFmtId="168" fontId="76" fillId="0" borderId="0" xfId="4" applyFont="1" applyAlignment="1">
      <alignment horizontal="center" vertical="center"/>
    </xf>
    <xf numFmtId="168" fontId="76" fillId="0" borderId="0" xfId="4" applyFont="1" applyBorder="1" applyAlignment="1">
      <alignment horizontal="center" vertical="center"/>
    </xf>
    <xf numFmtId="168" fontId="49" fillId="0" borderId="84" xfId="4" applyFont="1" applyBorder="1" applyAlignment="1">
      <alignment horizontal="left"/>
    </xf>
    <xf numFmtId="168" fontId="101" fillId="0" borderId="0" xfId="9" applyNumberFormat="1" applyFont="1" applyBorder="1" applyAlignment="1">
      <alignment horizontal="center" vertical="center"/>
    </xf>
    <xf numFmtId="168" fontId="101" fillId="0" borderId="86" xfId="9" applyNumberFormat="1" applyFont="1" applyBorder="1" applyAlignment="1">
      <alignment horizontal="center" vertical="center"/>
    </xf>
    <xf numFmtId="168" fontId="101" fillId="17" borderId="83" xfId="9" applyNumberFormat="1" applyFont="1" applyFill="1" applyBorder="1" applyAlignment="1" applyProtection="1">
      <alignment horizontal="center" vertical="center"/>
      <protection locked="0"/>
    </xf>
    <xf numFmtId="168" fontId="101" fillId="17" borderId="86" xfId="9" applyNumberFormat="1" applyFont="1" applyFill="1" applyBorder="1" applyAlignment="1" applyProtection="1">
      <alignment horizontal="center" vertical="center"/>
      <protection locked="0"/>
    </xf>
    <xf numFmtId="168" fontId="101" fillId="17" borderId="162" xfId="9" applyNumberFormat="1" applyFont="1" applyFill="1" applyBorder="1" applyAlignment="1" applyProtection="1">
      <alignment horizontal="center" vertical="center"/>
      <protection locked="0"/>
    </xf>
    <xf numFmtId="168" fontId="101" fillId="17" borderId="163" xfId="9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center" vertical="center"/>
    </xf>
    <xf numFmtId="168" fontId="78" fillId="0" borderId="0" xfId="4" applyFont="1"/>
    <xf numFmtId="168" fontId="2" fillId="0" borderId="0" xfId="4" applyFont="1"/>
    <xf numFmtId="165" fontId="143" fillId="61" borderId="0" xfId="4" applyNumberFormat="1" applyFont="1" applyFill="1" applyBorder="1" applyAlignment="1">
      <alignment horizontal="left" vertical="center"/>
    </xf>
    <xf numFmtId="168" fontId="67" fillId="17" borderId="99" xfId="4" applyFont="1" applyFill="1" applyBorder="1" applyAlignment="1" applyProtection="1">
      <alignment horizontal="left" vertical="center"/>
      <protection locked="0"/>
    </xf>
    <xf numFmtId="168" fontId="67" fillId="17" borderId="100" xfId="4" applyFont="1" applyFill="1" applyBorder="1" applyAlignment="1" applyProtection="1">
      <alignment horizontal="left" vertical="center"/>
      <protection locked="0"/>
    </xf>
    <xf numFmtId="168" fontId="67" fillId="17" borderId="101" xfId="4" applyFont="1" applyFill="1" applyBorder="1" applyAlignment="1" applyProtection="1">
      <alignment horizontal="left" vertical="center"/>
      <protection locked="0"/>
    </xf>
    <xf numFmtId="3" fontId="107" fillId="60" borderId="0" xfId="4" applyNumberFormat="1" applyFont="1" applyFill="1" applyAlignment="1">
      <alignment horizontal="center"/>
    </xf>
  </cellXfs>
  <cellStyles count="10">
    <cellStyle name="ConditionalStyle_1" xfId="1" xr:uid="{00000000-0005-0000-0000-000000000000}"/>
    <cellStyle name="Excel Built-in Calculation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Heading" xfId="5" xr:uid="{00000000-0005-0000-0000-000004000000}"/>
    <cellStyle name="Heading1" xfId="6" xr:uid="{00000000-0005-0000-0000-000005000000}"/>
    <cellStyle name="Link" xfId="9" builtinId="8"/>
    <cellStyle name="Result" xfId="7" xr:uid="{00000000-0005-0000-0000-000006000000}"/>
    <cellStyle name="Result2" xfId="8" xr:uid="{00000000-0005-0000-0000-000007000000}"/>
    <cellStyle name="Standard" xfId="0" builtinId="0" customBuiltin="1"/>
  </cellStyles>
  <dxfs count="54"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numFmt numFmtId="167" formatCode="0.0"/>
      <fill>
        <patternFill>
          <bgColor rgb="FFFF0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theme="5" tint="-0.24994659260841701"/>
      </font>
      <fill>
        <patternFill>
          <bgColor theme="7" tint="0.39994506668294322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</dxf>
    <dxf>
      <font>
        <color theme="4" tint="-0.24994659260841701"/>
      </font>
    </dxf>
    <dxf>
      <font>
        <color theme="4" tint="-0.24994659260841701"/>
      </font>
    </dxf>
    <dxf>
      <font>
        <color theme="3" tint="0.39994506668294322"/>
      </font>
      <fill>
        <patternFill>
          <bgColor theme="3" tint="0.79998168889431442"/>
        </patternFill>
      </fill>
    </dxf>
    <dxf>
      <font>
        <color theme="7" tint="0.79998168889431442"/>
      </font>
      <fill>
        <patternFill>
          <bgColor rgb="FFFF0000"/>
        </patternFill>
      </fill>
    </dxf>
    <dxf>
      <font>
        <b/>
        <i val="0"/>
        <color theme="7" tint="0.59996337778862885"/>
      </font>
      <fill>
        <patternFill>
          <bgColor rgb="FFFF0000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5" tint="0.79998168889431442"/>
        </patternFill>
      </fill>
    </dxf>
    <dxf>
      <font>
        <b val="0"/>
        <i val="0"/>
        <color theme="5"/>
      </font>
      <fill>
        <patternFill>
          <bgColor theme="6" tint="0.79998168889431442"/>
        </patternFill>
      </fill>
    </dxf>
    <dxf>
      <font>
        <color theme="5" tint="-0.24994659260841701"/>
      </font>
      <fill>
        <patternFill>
          <bgColor theme="7" tint="0.39994506668294322"/>
        </patternFill>
      </fill>
    </dxf>
    <dxf>
      <font>
        <color theme="3" tint="0.39994506668294322"/>
      </font>
      <fill>
        <patternFill>
          <bgColor theme="3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  <family val="2"/>
      </font>
    </dxf>
    <dxf>
      <font>
        <b val="0"/>
        <i val="0"/>
        <strike val="0"/>
        <outline val="0"/>
        <shadow val="0"/>
        <u val="none"/>
        <color rgb="FF000000"/>
        <family val="2"/>
      </font>
      <numFmt numFmtId="168" formatCode="[$-807]General"/>
      <fill>
        <patternFill patternType="none"/>
      </fill>
      <border>
        <left/>
        <right/>
        <top/>
        <bottom/>
      </border>
    </dxf>
    <dxf>
      <font>
        <color rgb="FF9C5700"/>
        <family val="2"/>
      </font>
      <fill>
        <patternFill patternType="solid">
          <fgColor rgb="FFFFEB9C"/>
          <bgColor rgb="FFFFEB9C"/>
        </patternFill>
      </fill>
    </dxf>
    <dxf>
      <font>
        <b val="0"/>
        <i val="0"/>
        <strike val="0"/>
        <outline val="0"/>
        <shadow val="0"/>
        <u val="none"/>
        <color rgb="FF000000"/>
        <family val="2"/>
      </font>
      <numFmt numFmtId="168" formatCode="[$-807]General"/>
      <fill>
        <patternFill patternType="none"/>
      </fill>
      <border>
        <left/>
        <right/>
        <top/>
        <bottom/>
      </border>
    </dxf>
    <dxf>
      <font>
        <color rgb="FF9C0006"/>
        <family val="2"/>
      </font>
    </dxf>
    <dxf>
      <font>
        <color rgb="FF006100"/>
      </font>
      <fill>
        <patternFill>
          <bgColor rgb="FFC6EFCE"/>
        </patternFill>
      </fill>
    </dxf>
    <dxf>
      <font>
        <color rgb="FF9C5700"/>
        <family val="2"/>
      </font>
      <fill>
        <patternFill patternType="solid">
          <fgColor rgb="FFFFEB9C"/>
          <bgColor rgb="FFFFEB9C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FFFF99"/>
      <color rgb="FFFFCC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622041</xdr:colOff>
      <xdr:row>69</xdr:row>
      <xdr:rowOff>184669</xdr:rowOff>
    </xdr:from>
    <xdr:ext cx="184731" cy="264560"/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1021786" y="118770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oneCellAnchor>
    <xdr:from>
      <xdr:col>0</xdr:col>
      <xdr:colOff>0</xdr:colOff>
      <xdr:row>66</xdr:row>
      <xdr:rowOff>116633</xdr:rowOff>
    </xdr:from>
    <xdr:ext cx="184731" cy="264560"/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408367" y="1219783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9</xdr:col>
      <xdr:colOff>87474</xdr:colOff>
      <xdr:row>41</xdr:row>
      <xdr:rowOff>155511</xdr:rowOff>
    </xdr:from>
    <xdr:to>
      <xdr:col>9</xdr:col>
      <xdr:colOff>174949</xdr:colOff>
      <xdr:row>42</xdr:row>
      <xdr:rowOff>6842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1187015" y="11847934"/>
          <a:ext cx="87475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100"/>
        </a:p>
      </xdr:txBody>
    </xdr:sp>
    <xdr:clientData/>
  </xdr:twoCellAnchor>
  <xdr:twoCellAnchor editAs="oneCell">
    <xdr:from>
      <xdr:col>8</xdr:col>
      <xdr:colOff>472210</xdr:colOff>
      <xdr:row>19</xdr:row>
      <xdr:rowOff>169642</xdr:rowOff>
    </xdr:from>
    <xdr:to>
      <xdr:col>14</xdr:col>
      <xdr:colOff>783409</xdr:colOff>
      <xdr:row>45</xdr:row>
      <xdr:rowOff>5515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052" y="4962221"/>
          <a:ext cx="5464726" cy="5380425"/>
        </a:xfrm>
        <a:prstGeom prst="rect">
          <a:avLst/>
        </a:prstGeom>
      </xdr:spPr>
    </xdr:pic>
    <xdr:clientData/>
  </xdr:twoCellAnchor>
  <xdr:twoCellAnchor>
    <xdr:from>
      <xdr:col>7</xdr:col>
      <xdr:colOff>130343</xdr:colOff>
      <xdr:row>46</xdr:row>
      <xdr:rowOff>53153</xdr:rowOff>
    </xdr:from>
    <xdr:to>
      <xdr:col>20</xdr:col>
      <xdr:colOff>129727</xdr:colOff>
      <xdr:row>64</xdr:row>
      <xdr:rowOff>156982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9411680" y="10563880"/>
          <a:ext cx="10499035" cy="3581561"/>
          <a:chOff x="3475441" y="14488260"/>
          <a:chExt cx="8400000" cy="3561905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475441" y="14488260"/>
            <a:ext cx="8400000" cy="3561905"/>
          </a:xfrm>
          <a:prstGeom prst="rect">
            <a:avLst/>
          </a:prstGeom>
          <a:ln w="57150">
            <a:solidFill>
              <a:schemeClr val="accent4">
                <a:lumMod val="50000"/>
              </a:schemeClr>
            </a:solidFill>
          </a:ln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339" name="Object 123" hidden="1">
                <a:extLst>
                  <a:ext uri="{63B3BB69-23CF-44E3-9099-C40C66FF867C}">
                    <a14:compatExt spid="_x0000_s9339"/>
                  </a:ext>
                  <a:ext uri="{FF2B5EF4-FFF2-40B4-BE49-F238E27FC236}">
                    <a16:creationId xmlns:a16="http://schemas.microsoft.com/office/drawing/2014/main" id="{00000000-0008-0000-0000-00007B240000}"/>
                  </a:ext>
                </a:extLst>
              </xdr:cNvPr>
              <xdr:cNvSpPr/>
            </xdr:nvSpPr>
            <xdr:spPr bwMode="auto">
              <a:xfrm>
                <a:off x="7288130" y="14508433"/>
                <a:ext cx="4572000" cy="2680431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 w="9525">
                <a:solidFill>
                  <a:srgbClr val="000000" mc:Ignorable="a14" a14:legacySpreadsheetColorIndex="64"/>
                </a:solidFill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Blaugrü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hyperlink" Target="https://www.photovoltaik4all.de/montagesysteme/schletter-singlefix-v-montagekit-fuer-trapezblech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merkasol.com/MPPT-SPC-III-3000-24-Outback-Power-Hybrid-Inverter" TargetMode="External"/><Relationship Id="rId1" Type="http://schemas.openxmlformats.org/officeDocument/2006/relationships/hyperlink" Target="https://www.alma-solarshop.com/i-m-solar-solar-panels/1271-i-m-solar-solar-panel-340w-mono.html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10" Type="http://schemas.openxmlformats.org/officeDocument/2006/relationships/comments" Target="../comments1.xml"/><Relationship Id="rId4" Type="http://schemas.openxmlformats.org/officeDocument/2006/relationships/hyperlink" Target="https://www.amazon.de/dp/B07YBKW1ZH?psc=1&amp;pf_rd_p=e94b0a22-467e-4ecc-b451-41a8bd2cc6a6&amp;pf_rd_r=SEAN0KGEFW7CD0DJVFF3&amp;pd_rd_wg=Gwqkr&amp;pd_rd_i=B07YBKW1ZH&amp;pd_rd_w=b3sWN&amp;pd_rd_r=5a59be58-ee45-403d-a50b-dd531f406b88&amp;ref_=pd_luc_rh_crh_rh_sbs_02_01_t_img_lh" TargetMode="External"/><Relationship Id="rId9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MM101"/>
  <sheetViews>
    <sheetView showGridLines="0" tabSelected="1" topLeftCell="A32" zoomScale="86" zoomScaleNormal="86" zoomScaleSheetLayoutView="100" workbookViewId="0">
      <selection activeCell="E70" sqref="E70"/>
    </sheetView>
  </sheetViews>
  <sheetFormatPr baseColWidth="10" defaultRowHeight="15" x14ac:dyDescent="0.25"/>
  <cols>
    <col min="1" max="1" width="55.375" style="4" customWidth="1"/>
    <col min="2" max="2" width="9.125" style="4" customWidth="1"/>
    <col min="3" max="3" width="12.5" style="4" customWidth="1"/>
    <col min="4" max="4" width="13.5" style="4" customWidth="1"/>
    <col min="5" max="5" width="9.5" style="4" customWidth="1"/>
    <col min="6" max="6" width="11.25" style="4" customWidth="1"/>
    <col min="7" max="7" width="10.625" style="4" customWidth="1"/>
    <col min="8" max="8" width="10.75" style="4" customWidth="1"/>
    <col min="9" max="9" width="13.125" style="4" customWidth="1"/>
    <col min="10" max="10" width="10.875" style="4" customWidth="1"/>
    <col min="11" max="11" width="12" style="4" customWidth="1"/>
    <col min="12" max="12" width="13.25" style="4" customWidth="1"/>
    <col min="13" max="13" width="8.875" style="4" customWidth="1"/>
    <col min="14" max="14" width="9.5" style="4" customWidth="1"/>
    <col min="15" max="15" width="12.125" style="4" customWidth="1"/>
    <col min="16" max="16" width="5" style="4" customWidth="1"/>
    <col min="17" max="17" width="5.5" style="73" customWidth="1"/>
    <col min="18" max="18" width="5.875" style="4" customWidth="1"/>
    <col min="19" max="19" width="7.5" style="73" customWidth="1"/>
    <col min="20" max="20" width="23.5" style="73" customWidth="1"/>
    <col min="21" max="21" width="8.125" style="73" customWidth="1"/>
    <col min="22" max="22" width="9.625" style="78" customWidth="1"/>
    <col min="23" max="23" width="6.125" style="4" customWidth="1"/>
    <col min="24" max="24" width="5.875" style="4" customWidth="1"/>
    <col min="25" max="25" width="4.75" style="4" customWidth="1"/>
    <col min="26" max="26" width="6.625" style="4" customWidth="1"/>
    <col min="27" max="1025" width="9.875" style="4" customWidth="1"/>
  </cols>
  <sheetData>
    <row r="1" spans="1:1025" ht="15.75" thickBot="1" x14ac:dyDescent="0.3">
      <c r="P1" s="391" t="s">
        <v>145</v>
      </c>
      <c r="Q1" s="391"/>
      <c r="R1" s="391"/>
      <c r="T1" s="223"/>
      <c r="U1" s="218"/>
      <c r="V1" s="218"/>
    </row>
    <row r="2" spans="1:1025" ht="27" customHeight="1" thickBot="1" x14ac:dyDescent="0.3">
      <c r="A2" s="140" t="s">
        <v>132</v>
      </c>
      <c r="B2" s="320" t="s">
        <v>25</v>
      </c>
      <c r="C2" s="321" t="s">
        <v>136</v>
      </c>
      <c r="D2" s="322" t="s">
        <v>137</v>
      </c>
      <c r="E2" s="404" t="s">
        <v>125</v>
      </c>
      <c r="F2" s="323" t="s">
        <v>31</v>
      </c>
      <c r="G2" s="324" t="s">
        <v>138</v>
      </c>
      <c r="H2" s="263" t="str">
        <f>IF(H3=0,"Battery override","default = 0")</f>
        <v>Battery override</v>
      </c>
      <c r="J2" s="394" t="s">
        <v>71</v>
      </c>
      <c r="K2" s="395"/>
      <c r="L2" s="396"/>
      <c r="M2" s="397" t="str">
        <f>A72</f>
        <v>SHUNBIN LiFePo4  12V / 100Ah</v>
      </c>
      <c r="N2" s="398"/>
      <c r="O2" s="399"/>
      <c r="P2" s="333">
        <v>0</v>
      </c>
      <c r="Q2" s="278" t="s">
        <v>142</v>
      </c>
      <c r="R2" s="284">
        <v>1</v>
      </c>
      <c r="S2" s="1"/>
      <c r="T2" s="74"/>
      <c r="AMJ2"/>
      <c r="AMK2"/>
    </row>
    <row r="3" spans="1:1025" ht="30.75" thickBot="1" x14ac:dyDescent="0.3">
      <c r="A3" s="236" t="s">
        <v>126</v>
      </c>
      <c r="B3" s="325">
        <f>IF(H3=0,O3,H3)</f>
        <v>2</v>
      </c>
      <c r="C3" s="326">
        <f>J4</f>
        <v>2560</v>
      </c>
      <c r="D3" s="327">
        <f>E22</f>
        <v>1393.837447948164</v>
      </c>
      <c r="E3" s="411">
        <f>C3/D3*F3/100/O6</f>
        <v>1.6867249560729971</v>
      </c>
      <c r="F3" s="410">
        <f>IF(H5=0,O5*100,H5)</f>
        <v>90</v>
      </c>
      <c r="G3" s="328">
        <f>L6</f>
        <v>25.6</v>
      </c>
      <c r="H3" s="264">
        <v>0</v>
      </c>
      <c r="I3" s="255" t="s">
        <v>21</v>
      </c>
      <c r="J3" s="331" t="s">
        <v>39</v>
      </c>
      <c r="K3" s="350" t="s">
        <v>33</v>
      </c>
      <c r="L3" s="350" t="s">
        <v>36</v>
      </c>
      <c r="M3" s="350" t="s">
        <v>61</v>
      </c>
      <c r="N3" s="350" t="s">
        <v>149</v>
      </c>
      <c r="O3" s="351">
        <v>2</v>
      </c>
      <c r="P3" s="334">
        <v>1</v>
      </c>
      <c r="Q3" s="279" t="s">
        <v>141</v>
      </c>
      <c r="R3" s="285">
        <v>2</v>
      </c>
      <c r="S3" s="72"/>
      <c r="AMJ3"/>
      <c r="AMK3"/>
    </row>
    <row r="4" spans="1:1025" ht="22.5" customHeight="1" thickBot="1" x14ac:dyDescent="0.3">
      <c r="A4" s="149" t="str">
        <f>A25</f>
        <v>ALPHA OUTBACK SPC III 3000-24V</v>
      </c>
      <c r="B4" s="339">
        <f>F32</f>
        <v>1534.33</v>
      </c>
      <c r="C4" s="340">
        <f>F46</f>
        <v>1279.5880000000002</v>
      </c>
      <c r="D4" s="405">
        <f>B4+C4</f>
        <v>2813.9180000000001</v>
      </c>
      <c r="E4" s="407">
        <f>IF(H7=0,25,H7)</f>
        <v>25</v>
      </c>
      <c r="F4" s="408" t="s">
        <v>41</v>
      </c>
      <c r="G4" s="406" t="s">
        <v>133</v>
      </c>
      <c r="H4" s="258" t="str">
        <f>IF(H5=0,"DoD override","Default =  0")</f>
        <v>DoD override</v>
      </c>
      <c r="I4" s="255"/>
      <c r="J4" s="283">
        <f>K4*L6</f>
        <v>2560</v>
      </c>
      <c r="K4" s="352">
        <v>100</v>
      </c>
      <c r="L4" s="353">
        <v>12.8</v>
      </c>
      <c r="M4" s="354">
        <f>L6</f>
        <v>25.6</v>
      </c>
      <c r="N4" s="353">
        <v>3.2</v>
      </c>
      <c r="O4" s="355" t="s">
        <v>62</v>
      </c>
      <c r="P4" s="274"/>
      <c r="Q4" s="85"/>
      <c r="R4" s="2"/>
      <c r="S4" s="72"/>
      <c r="T4" s="75"/>
      <c r="U4" s="72"/>
      <c r="AMK4"/>
    </row>
    <row r="5" spans="1:1025" ht="18" customHeight="1" thickBot="1" x14ac:dyDescent="0.3">
      <c r="A5" s="254" t="s">
        <v>135</v>
      </c>
      <c r="B5" s="61" t="s">
        <v>40</v>
      </c>
      <c r="C5" s="55" t="s">
        <v>0</v>
      </c>
      <c r="D5" s="55" t="s">
        <v>1</v>
      </c>
      <c r="E5" s="55" t="s">
        <v>23</v>
      </c>
      <c r="F5" s="143" t="s">
        <v>2</v>
      </c>
      <c r="G5" s="146" t="s">
        <v>29</v>
      </c>
      <c r="H5" s="257">
        <v>0</v>
      </c>
      <c r="I5" s="256" t="s">
        <v>139</v>
      </c>
      <c r="J5" s="400" t="s">
        <v>148</v>
      </c>
      <c r="K5" s="401"/>
      <c r="L5" s="350" t="s">
        <v>56</v>
      </c>
      <c r="M5" s="350" t="s">
        <v>92</v>
      </c>
      <c r="N5" s="237" t="s">
        <v>31</v>
      </c>
      <c r="O5" s="282">
        <v>0.9</v>
      </c>
      <c r="Q5" s="5"/>
      <c r="R5" s="2"/>
      <c r="S5" s="72"/>
      <c r="T5" s="75"/>
      <c r="AMI5"/>
      <c r="AMJ5"/>
      <c r="AMK5"/>
    </row>
    <row r="6" spans="1:1025" ht="25.5" customHeight="1" thickBot="1" x14ac:dyDescent="0.3">
      <c r="A6" s="298" t="s">
        <v>45</v>
      </c>
      <c r="B6" s="231">
        <v>1</v>
      </c>
      <c r="C6" s="229">
        <v>230</v>
      </c>
      <c r="D6" s="115">
        <v>60</v>
      </c>
      <c r="E6" s="225">
        <f t="shared" ref="E6:E19" si="0">B6*D6</f>
        <v>60</v>
      </c>
      <c r="F6" s="144">
        <v>6</v>
      </c>
      <c r="G6" s="343">
        <f t="shared" ref="G6:G19" si="1">E6*F6</f>
        <v>360</v>
      </c>
      <c r="H6" s="258" t="str">
        <f>IF(H7=0,"Sim override","Default=0")</f>
        <v>Sim override</v>
      </c>
      <c r="I6" s="255"/>
      <c r="J6" s="335">
        <f>B3</f>
        <v>2</v>
      </c>
      <c r="K6" s="277" t="s">
        <v>144</v>
      </c>
      <c r="L6" s="280">
        <f>IF(K7=1,L4*J6,L4)</f>
        <v>25.6</v>
      </c>
      <c r="M6" s="295">
        <f>IF(K7=1,K4,J6*K4)</f>
        <v>100</v>
      </c>
      <c r="N6" s="42" t="s">
        <v>27</v>
      </c>
      <c r="O6" s="282">
        <v>0.98</v>
      </c>
      <c r="Q6" s="81"/>
      <c r="R6" s="2"/>
      <c r="S6" s="72"/>
      <c r="T6" s="75"/>
      <c r="AMI6"/>
      <c r="AMJ6"/>
      <c r="AMK6"/>
    </row>
    <row r="7" spans="1:1025" ht="19.5" customHeight="1" thickBot="1" x14ac:dyDescent="0.3">
      <c r="A7" s="299" t="s">
        <v>123</v>
      </c>
      <c r="B7" s="232">
        <v>1</v>
      </c>
      <c r="C7" s="229">
        <v>230</v>
      </c>
      <c r="D7" s="116">
        <v>60</v>
      </c>
      <c r="E7" s="225">
        <f t="shared" si="0"/>
        <v>60</v>
      </c>
      <c r="F7" s="145">
        <v>8</v>
      </c>
      <c r="G7" s="343">
        <f t="shared" si="1"/>
        <v>480</v>
      </c>
      <c r="H7" s="259">
        <v>0</v>
      </c>
      <c r="I7" s="255"/>
      <c r="J7" s="275" t="str">
        <f>IF(L7="seriel","seriel=1","parallel=0")</f>
        <v>seriel=1</v>
      </c>
      <c r="K7" s="356">
        <v>1</v>
      </c>
      <c r="L7" s="292" t="str">
        <f>IF(K7=1,"SERIEL","PARALLEL")</f>
        <v>SERIEL</v>
      </c>
      <c r="M7" s="296">
        <f>IF(K7=1,K7*B3,L4)</f>
        <v>2</v>
      </c>
      <c r="N7" s="228" t="s">
        <v>28</v>
      </c>
      <c r="O7" s="282">
        <v>0.96</v>
      </c>
      <c r="P7"/>
      <c r="Q7" s="82"/>
      <c r="R7" s="2"/>
      <c r="S7" s="72"/>
      <c r="T7" s="75"/>
      <c r="AMI7"/>
      <c r="AMJ7"/>
      <c r="AMK7"/>
    </row>
    <row r="8" spans="1:1025" ht="26.25" customHeight="1" thickBot="1" x14ac:dyDescent="0.3">
      <c r="A8" s="299" t="s">
        <v>122</v>
      </c>
      <c r="B8" s="233">
        <v>1</v>
      </c>
      <c r="C8" s="229">
        <v>230</v>
      </c>
      <c r="D8" s="116">
        <v>76</v>
      </c>
      <c r="E8" s="225">
        <f t="shared" si="0"/>
        <v>76</v>
      </c>
      <c r="F8" s="145">
        <v>2</v>
      </c>
      <c r="G8" s="343">
        <f t="shared" si="1"/>
        <v>152</v>
      </c>
      <c r="H8" s="258" t="str">
        <f>IF(H9=0,"Panel nos override","Default=0 ")</f>
        <v>Panel nos override</v>
      </c>
      <c r="I8" s="255"/>
      <c r="J8" s="336" t="str">
        <f>IF(K8=0,"parallel=0","")</f>
        <v/>
      </c>
      <c r="K8" s="291" t="str">
        <f>IF(L8="PARALLEL",0,"")</f>
        <v/>
      </c>
      <c r="L8" s="293" t="str">
        <f>IF(K9&gt;1,"PARALLEL","")</f>
        <v/>
      </c>
      <c r="M8" s="296">
        <f>IF(K8=0,M7*K9,M7)</f>
        <v>2</v>
      </c>
      <c r="N8" s="294" t="s">
        <v>32</v>
      </c>
      <c r="O8" s="338">
        <f>E3</f>
        <v>1.6867249560729971</v>
      </c>
      <c r="P8" s="107"/>
      <c r="Q8" s="5"/>
      <c r="R8" s="2"/>
      <c r="S8" s="72"/>
      <c r="T8" s="75"/>
      <c r="AMI8"/>
      <c r="AMJ8"/>
      <c r="AMK8"/>
    </row>
    <row r="9" spans="1:1025" ht="18.75" thickBot="1" x14ac:dyDescent="0.3">
      <c r="A9" s="299" t="s">
        <v>110</v>
      </c>
      <c r="B9" s="233">
        <v>1</v>
      </c>
      <c r="C9" s="229">
        <v>230</v>
      </c>
      <c r="D9" s="116">
        <v>416</v>
      </c>
      <c r="E9" s="225">
        <f t="shared" si="0"/>
        <v>416</v>
      </c>
      <c r="F9" s="145">
        <v>4</v>
      </c>
      <c r="G9" s="343">
        <f t="shared" si="1"/>
        <v>1664</v>
      </c>
      <c r="H9" s="260">
        <v>0</v>
      </c>
      <c r="I9" s="255"/>
      <c r="J9" s="350" t="s">
        <v>143</v>
      </c>
      <c r="K9" s="356">
        <v>1</v>
      </c>
      <c r="L9" s="276">
        <f>O3/K9</f>
        <v>2</v>
      </c>
      <c r="M9" s="297" t="s">
        <v>118</v>
      </c>
      <c r="N9" s="228" t="s">
        <v>30</v>
      </c>
      <c r="O9" s="281">
        <f>E4/100</f>
        <v>0.25</v>
      </c>
      <c r="P9"/>
      <c r="Q9" s="81"/>
      <c r="R9" s="3"/>
      <c r="S9" s="72"/>
      <c r="T9" s="75"/>
      <c r="AMI9"/>
      <c r="AMJ9"/>
      <c r="AMK9"/>
    </row>
    <row r="10" spans="1:1025" ht="26.25" thickBot="1" x14ac:dyDescent="0.3">
      <c r="A10" s="299" t="s">
        <v>46</v>
      </c>
      <c r="B10" s="233">
        <v>1</v>
      </c>
      <c r="C10" s="229">
        <v>230</v>
      </c>
      <c r="D10" s="116">
        <v>196</v>
      </c>
      <c r="E10" s="225">
        <f t="shared" si="0"/>
        <v>196</v>
      </c>
      <c r="F10" s="145">
        <v>2</v>
      </c>
      <c r="G10" s="343">
        <f t="shared" si="1"/>
        <v>392</v>
      </c>
      <c r="H10" s="265" t="str">
        <f>IF(H11=0,"Reserve override","Default=0")</f>
        <v>Reserve override</v>
      </c>
      <c r="I10" s="289">
        <f>IF(H11=0,1.1,H11)</f>
        <v>1.1000000000000001</v>
      </c>
      <c r="J10" s="402" t="s">
        <v>57</v>
      </c>
      <c r="K10" s="403"/>
      <c r="L10" s="227" t="s">
        <v>44</v>
      </c>
      <c r="M10" s="337" t="s">
        <v>119</v>
      </c>
      <c r="N10" s="238" t="s">
        <v>117</v>
      </c>
      <c r="O10" s="282" t="s">
        <v>42</v>
      </c>
      <c r="P10" s="147"/>
      <c r="Q10" s="81">
        <f>1</f>
        <v>1</v>
      </c>
      <c r="R10" s="273"/>
      <c r="S10" s="72"/>
      <c r="T10" s="75"/>
      <c r="AMI10"/>
      <c r="AMJ10"/>
      <c r="AMK10"/>
    </row>
    <row r="11" spans="1:1025" ht="18.75" thickBot="1" x14ac:dyDescent="0.3">
      <c r="A11" s="299" t="s">
        <v>121</v>
      </c>
      <c r="B11" s="232">
        <v>3</v>
      </c>
      <c r="C11" s="229">
        <v>230</v>
      </c>
      <c r="D11" s="116">
        <v>120</v>
      </c>
      <c r="E11" s="225">
        <f t="shared" si="0"/>
        <v>360</v>
      </c>
      <c r="F11" s="145">
        <v>2</v>
      </c>
      <c r="G11" s="344">
        <f t="shared" si="1"/>
        <v>720</v>
      </c>
      <c r="H11" s="266">
        <v>0</v>
      </c>
      <c r="I11" s="267"/>
      <c r="P11" s="148"/>
      <c r="Q11" s="83"/>
      <c r="R11" s="3"/>
      <c r="S11" s="72"/>
      <c r="T11" s="75"/>
      <c r="AMI11"/>
      <c r="AMJ11"/>
      <c r="AMK11"/>
    </row>
    <row r="12" spans="1:1025" ht="16.5" thickBot="1" x14ac:dyDescent="0.3">
      <c r="A12" s="299" t="s">
        <v>47</v>
      </c>
      <c r="B12" s="232">
        <v>2</v>
      </c>
      <c r="C12" s="229">
        <v>230</v>
      </c>
      <c r="D12" s="116">
        <f>60+25+32/B12</f>
        <v>101</v>
      </c>
      <c r="E12" s="225">
        <f t="shared" si="0"/>
        <v>202</v>
      </c>
      <c r="F12" s="145">
        <v>2</v>
      </c>
      <c r="G12" s="343">
        <f t="shared" si="1"/>
        <v>404</v>
      </c>
      <c r="H12" s="261" t="s">
        <v>116</v>
      </c>
      <c r="I12" s="147" t="s">
        <v>63</v>
      </c>
      <c r="J12" s="394" t="s">
        <v>34</v>
      </c>
      <c r="K12" s="395"/>
      <c r="L12" s="396"/>
      <c r="M12" s="397" t="str">
        <f>A69</f>
        <v>I'M SOLAR 280P  Polycrystallin</v>
      </c>
      <c r="N12" s="398"/>
      <c r="O12" s="399"/>
      <c r="P12" s="106"/>
      <c r="Q12" s="84"/>
      <c r="R12" s="3"/>
      <c r="S12" s="72"/>
      <c r="T12" s="75"/>
      <c r="AMI12"/>
      <c r="AMJ12"/>
      <c r="AMK12"/>
    </row>
    <row r="13" spans="1:1025" ht="15.75" thickBot="1" x14ac:dyDescent="0.3">
      <c r="A13" s="299" t="s">
        <v>109</v>
      </c>
      <c r="B13" s="233">
        <v>1</v>
      </c>
      <c r="C13" s="229">
        <v>230</v>
      </c>
      <c r="D13" s="116">
        <v>254</v>
      </c>
      <c r="E13" s="225">
        <f t="shared" si="0"/>
        <v>254</v>
      </c>
      <c r="F13" s="145">
        <v>4</v>
      </c>
      <c r="G13" s="344">
        <f t="shared" si="1"/>
        <v>1016</v>
      </c>
      <c r="H13" s="248"/>
      <c r="I13"/>
      <c r="J13" s="331" t="s">
        <v>21</v>
      </c>
      <c r="K13" s="104" t="s">
        <v>54</v>
      </c>
      <c r="L13" s="104" t="s">
        <v>53</v>
      </c>
      <c r="M13" s="104" t="s">
        <v>52</v>
      </c>
      <c r="N13" s="104" t="s">
        <v>83</v>
      </c>
      <c r="O13" s="103" t="s">
        <v>58</v>
      </c>
      <c r="P13" s="106"/>
      <c r="R13" s="114"/>
      <c r="AMI13"/>
      <c r="AMJ13"/>
      <c r="AMK13"/>
    </row>
    <row r="14" spans="1:1025" ht="16.5" thickBot="1" x14ac:dyDescent="0.3">
      <c r="A14" s="299" t="s">
        <v>48</v>
      </c>
      <c r="B14" s="233">
        <v>1</v>
      </c>
      <c r="C14" s="229">
        <v>230</v>
      </c>
      <c r="D14" s="116">
        <v>74</v>
      </c>
      <c r="E14" s="225">
        <f t="shared" si="0"/>
        <v>74</v>
      </c>
      <c r="F14" s="145">
        <v>1</v>
      </c>
      <c r="G14" s="344">
        <f t="shared" si="1"/>
        <v>74</v>
      </c>
      <c r="H14" s="262"/>
      <c r="I14"/>
      <c r="J14" s="358">
        <v>5</v>
      </c>
      <c r="K14" s="359">
        <v>280</v>
      </c>
      <c r="L14" s="329">
        <f>L17*M17</f>
        <v>1800.1000000000001</v>
      </c>
      <c r="M14" s="319">
        <f>E22</f>
        <v>1393.837447948164</v>
      </c>
      <c r="N14" s="360">
        <v>6.5</v>
      </c>
      <c r="O14" s="312">
        <f>J19/1000*K19/1000*J14</f>
        <v>8.3666249999999991</v>
      </c>
      <c r="P14" s="106"/>
      <c r="AMI14"/>
      <c r="AMJ14"/>
      <c r="AMK14"/>
    </row>
    <row r="15" spans="1:1025" ht="15.75" x14ac:dyDescent="0.25">
      <c r="A15" s="299" t="s">
        <v>120</v>
      </c>
      <c r="B15" s="232">
        <v>1</v>
      </c>
      <c r="C15" s="229">
        <v>230</v>
      </c>
      <c r="D15" s="116">
        <v>100</v>
      </c>
      <c r="E15" s="225">
        <f t="shared" si="0"/>
        <v>100</v>
      </c>
      <c r="F15" s="145">
        <v>6</v>
      </c>
      <c r="G15" s="344">
        <f t="shared" si="1"/>
        <v>600</v>
      </c>
      <c r="H15" s="58"/>
      <c r="I15"/>
      <c r="J15" s="314" t="s">
        <v>38</v>
      </c>
      <c r="K15" s="330">
        <f>L16*M16*0.85</f>
        <v>306.017</v>
      </c>
      <c r="L15" s="104" t="s">
        <v>147</v>
      </c>
      <c r="M15" s="104" t="s">
        <v>82</v>
      </c>
      <c r="N15" s="357"/>
      <c r="O15" s="313"/>
      <c r="Q15" s="124"/>
      <c r="AMI15"/>
      <c r="AMJ15"/>
      <c r="AMK15"/>
    </row>
    <row r="16" spans="1:1025" ht="15" customHeight="1" thickBot="1" x14ac:dyDescent="0.3">
      <c r="A16" s="299" t="s">
        <v>104</v>
      </c>
      <c r="B16" s="232">
        <v>12</v>
      </c>
      <c r="C16" s="229">
        <v>230</v>
      </c>
      <c r="D16" s="116">
        <v>8</v>
      </c>
      <c r="E16" s="225">
        <f t="shared" si="0"/>
        <v>96</v>
      </c>
      <c r="F16" s="145">
        <v>0.3</v>
      </c>
      <c r="G16" s="344">
        <f t="shared" si="1"/>
        <v>28.799999999999997</v>
      </c>
      <c r="H16" s="58"/>
      <c r="I16"/>
      <c r="J16" s="361">
        <v>1</v>
      </c>
      <c r="K16" s="315">
        <f>J14/J16</f>
        <v>5</v>
      </c>
      <c r="L16" s="362">
        <v>38.299999999999997</v>
      </c>
      <c r="M16" s="362">
        <v>9.4</v>
      </c>
      <c r="N16" s="16"/>
      <c r="O16" s="348"/>
      <c r="P16" s="71"/>
      <c r="AMI16"/>
      <c r="AMJ16"/>
      <c r="AMK16"/>
    </row>
    <row r="17" spans="1:1025" ht="15.75" customHeight="1" thickBot="1" x14ac:dyDescent="0.3">
      <c r="A17" s="299" t="s">
        <v>103</v>
      </c>
      <c r="B17" s="232">
        <v>1</v>
      </c>
      <c r="C17" s="229">
        <v>230</v>
      </c>
      <c r="D17" s="116">
        <v>1000</v>
      </c>
      <c r="E17" s="225">
        <f t="shared" si="0"/>
        <v>1000</v>
      </c>
      <c r="F17" s="145">
        <v>1</v>
      </c>
      <c r="G17" s="344">
        <f t="shared" si="1"/>
        <v>1000</v>
      </c>
      <c r="H17" s="58"/>
      <c r="I17"/>
      <c r="J17" s="332">
        <v>1</v>
      </c>
      <c r="K17" s="316">
        <v>0</v>
      </c>
      <c r="L17" s="317">
        <f>IF(J17=1,L16*J14,L16)</f>
        <v>191.5</v>
      </c>
      <c r="M17" s="318">
        <f>IF(K17=J15,M16*K16,M16)</f>
        <v>9.4</v>
      </c>
      <c r="N17" s="290" t="s">
        <v>65</v>
      </c>
      <c r="O17" s="349">
        <v>100</v>
      </c>
      <c r="P17" s="71"/>
      <c r="Q17" s="89"/>
      <c r="R17" s="95"/>
      <c r="S17" s="88"/>
      <c r="T17" s="89"/>
      <c r="U17" s="75"/>
      <c r="AMI17"/>
      <c r="AMJ17"/>
      <c r="AMK17"/>
    </row>
    <row r="18" spans="1:1025" ht="15.75" thickBot="1" x14ac:dyDescent="0.3">
      <c r="A18" s="300" t="s">
        <v>127</v>
      </c>
      <c r="B18" s="234">
        <v>1</v>
      </c>
      <c r="C18" s="230">
        <v>230</v>
      </c>
      <c r="D18" s="153">
        <f xml:space="preserve"> B18*180</f>
        <v>180</v>
      </c>
      <c r="E18" s="225">
        <f t="shared" si="0"/>
        <v>180</v>
      </c>
      <c r="F18" s="154">
        <v>4</v>
      </c>
      <c r="G18" s="344">
        <f t="shared" si="1"/>
        <v>720</v>
      </c>
      <c r="H18" s="30"/>
      <c r="I18"/>
      <c r="J18" s="392" t="str">
        <f>A69</f>
        <v>I'M SOLAR 280P  Polycrystallin</v>
      </c>
      <c r="K18" s="393"/>
      <c r="L18" s="393"/>
      <c r="M18" s="104" t="s">
        <v>85</v>
      </c>
      <c r="N18" s="104" t="s">
        <v>18</v>
      </c>
      <c r="O18" s="103" t="s">
        <v>19</v>
      </c>
      <c r="P18" s="71"/>
      <c r="Q18" s="89"/>
      <c r="R18" s="95"/>
      <c r="S18" s="88"/>
      <c r="T18" s="89"/>
      <c r="AMI18"/>
      <c r="AMJ18"/>
      <c r="AMK18"/>
    </row>
    <row r="19" spans="1:1025" ht="15.75" thickBot="1" x14ac:dyDescent="0.3">
      <c r="A19" s="300" t="s">
        <v>107</v>
      </c>
      <c r="B19" s="234">
        <v>4</v>
      </c>
      <c r="C19" s="230">
        <v>230</v>
      </c>
      <c r="D19" s="153">
        <v>60</v>
      </c>
      <c r="E19" s="226">
        <f t="shared" si="0"/>
        <v>240</v>
      </c>
      <c r="F19" s="154">
        <v>4</v>
      </c>
      <c r="G19" s="345">
        <f t="shared" si="1"/>
        <v>960</v>
      </c>
      <c r="H19" s="409"/>
      <c r="I19"/>
      <c r="J19" s="363">
        <v>1665</v>
      </c>
      <c r="K19" s="363">
        <v>1005</v>
      </c>
      <c r="L19" s="364">
        <v>35</v>
      </c>
      <c r="M19" s="235" t="s">
        <v>102</v>
      </c>
      <c r="N19" s="364">
        <v>18</v>
      </c>
      <c r="O19" s="347">
        <f>J14*N19</f>
        <v>90</v>
      </c>
      <c r="P19" s="71"/>
      <c r="Q19" s="89"/>
      <c r="R19" s="95"/>
      <c r="S19" s="88"/>
      <c r="T19" s="89"/>
      <c r="AMJ19"/>
      <c r="AMK19"/>
    </row>
    <row r="20" spans="1:1025" ht="16.5" thickBot="1" x14ac:dyDescent="0.3">
      <c r="A20" s="16"/>
      <c r="B20" s="3"/>
      <c r="C20" s="22"/>
      <c r="D20" s="16"/>
      <c r="E20" s="251">
        <f>SUM(E6:E19)</f>
        <v>3314</v>
      </c>
      <c r="F20" s="370">
        <f>AVERAGE(F6:F19)</f>
        <v>3.3071428571428569</v>
      </c>
      <c r="G20" s="342">
        <f>SUM(G6:G19)</f>
        <v>8570.7999999999993</v>
      </c>
      <c r="H20" s="286"/>
      <c r="I20" s="341"/>
      <c r="L20" s="8"/>
      <c r="M20" s="8"/>
      <c r="N20" s="8"/>
      <c r="P20" s="70"/>
      <c r="Q20" s="69"/>
      <c r="R20" s="97"/>
      <c r="S20" s="88"/>
      <c r="T20" s="88"/>
      <c r="AMH20"/>
      <c r="AMI20"/>
      <c r="AMJ20"/>
      <c r="AMK20"/>
    </row>
    <row r="21" spans="1:1025" ht="18.75" customHeight="1" thickBot="1" x14ac:dyDescent="0.3">
      <c r="A21" s="68"/>
      <c r="B21" s="7"/>
      <c r="C21" s="22"/>
      <c r="D21" s="16"/>
      <c r="E21" s="310" t="s">
        <v>130</v>
      </c>
      <c r="F21" s="311" t="s">
        <v>134</v>
      </c>
      <c r="G21" s="253" t="s">
        <v>43</v>
      </c>
      <c r="H21" s="287"/>
      <c r="I21" s="113"/>
      <c r="N21" s="6"/>
      <c r="P21" s="92"/>
      <c r="Q21" s="94"/>
      <c r="R21" s="97"/>
      <c r="S21" s="88"/>
      <c r="T21" s="88"/>
      <c r="AMH21"/>
      <c r="AMI21"/>
      <c r="AMJ21"/>
      <c r="AMK21"/>
    </row>
    <row r="22" spans="1:1025" ht="19.5" thickBot="1" x14ac:dyDescent="0.35">
      <c r="A22" s="68"/>
      <c r="B22" s="246" t="s">
        <v>131</v>
      </c>
      <c r="C22" s="247" t="str">
        <f>IF(AND(E22&lt;L14,C38&lt;B38),"OK","Overload!")</f>
        <v>OK</v>
      </c>
      <c r="D22" s="309" t="s">
        <v>87</v>
      </c>
      <c r="E22" s="346">
        <f>(F22/100*E4)</f>
        <v>1393.837447948164</v>
      </c>
      <c r="F22" s="346">
        <f>(G20/F20)+G65*O6*O7</f>
        <v>5575.3497917926561</v>
      </c>
      <c r="G22" s="252"/>
      <c r="H22" s="288" t="s">
        <v>63</v>
      </c>
      <c r="I22" s="28"/>
      <c r="N22" s="6"/>
      <c r="Q22" s="69"/>
      <c r="R22" s="93"/>
      <c r="S22" s="88"/>
      <c r="T22" s="88"/>
      <c r="AMH22"/>
      <c r="AMI22"/>
      <c r="AMJ22"/>
      <c r="AMK22"/>
    </row>
    <row r="23" spans="1:1025" ht="19.5" customHeight="1" thickBot="1" x14ac:dyDescent="0.3">
      <c r="A23" s="68"/>
      <c r="B23" s="3"/>
      <c r="C23" s="22"/>
      <c r="I23" s="29"/>
      <c r="O23" s="6"/>
      <c r="P23" s="6"/>
      <c r="Q23" s="69"/>
      <c r="R23" s="92"/>
      <c r="S23" s="90"/>
      <c r="T23" s="90"/>
      <c r="AMJ23"/>
      <c r="AMK23"/>
    </row>
    <row r="24" spans="1:1025" ht="18.75" thickBot="1" x14ac:dyDescent="0.3">
      <c r="A24" s="62" t="s">
        <v>106</v>
      </c>
      <c r="B24" s="63" t="s">
        <v>16</v>
      </c>
      <c r="C24" s="64" t="s">
        <v>35</v>
      </c>
      <c r="D24" s="244" t="s">
        <v>129</v>
      </c>
      <c r="E24" s="245" t="s">
        <v>17</v>
      </c>
      <c r="F24" s="65" t="s">
        <v>17</v>
      </c>
      <c r="G24" s="66" t="s">
        <v>18</v>
      </c>
      <c r="H24" s="67" t="s">
        <v>19</v>
      </c>
      <c r="I24" s="53"/>
      <c r="O24" s="6"/>
      <c r="P24" s="6"/>
      <c r="Q24" s="86"/>
      <c r="U24" s="90"/>
      <c r="V24" s="90"/>
      <c r="W24" s="96"/>
      <c r="AMJ24"/>
      <c r="AMK24"/>
    </row>
    <row r="25" spans="1:1025" ht="18.75" customHeight="1" thickBot="1" x14ac:dyDescent="0.3">
      <c r="A25" s="386" t="str">
        <f>A75</f>
        <v>ALPHA OUTBACK SPC III 3000-24V</v>
      </c>
      <c r="B25" s="59">
        <v>1</v>
      </c>
      <c r="C25" s="112" t="s">
        <v>81</v>
      </c>
      <c r="D25" s="243">
        <f>L14/(E22*1.1)*100</f>
        <v>117.40641262462366</v>
      </c>
      <c r="E25" s="365">
        <f>K75</f>
        <v>940.8</v>
      </c>
      <c r="F25" s="366">
        <f t="shared" ref="F25:F31" si="2">B25*E25</f>
        <v>940.8</v>
      </c>
      <c r="G25" s="369">
        <v>8</v>
      </c>
      <c r="H25" s="371">
        <f t="shared" ref="H25:H31" si="3">B25*G25</f>
        <v>8</v>
      </c>
      <c r="I25" s="53"/>
      <c r="M25" s="6"/>
      <c r="N25" s="6"/>
      <c r="O25" s="75"/>
      <c r="P25" s="6"/>
      <c r="Q25" s="75"/>
      <c r="R25" s="3"/>
      <c r="S25" s="72"/>
      <c r="T25" s="72"/>
      <c r="U25" s="90"/>
      <c r="V25" s="90"/>
      <c r="W25" s="96"/>
      <c r="AMJ25"/>
      <c r="AMK25"/>
    </row>
    <row r="26" spans="1:1025" ht="15.75" thickBot="1" x14ac:dyDescent="0.3">
      <c r="A26" s="387" t="str">
        <f>A72</f>
        <v>SHUNBIN LiFePo4  12V / 100Ah</v>
      </c>
      <c r="B26" s="60">
        <f>B3</f>
        <v>2</v>
      </c>
      <c r="C26" s="112" t="s">
        <v>81</v>
      </c>
      <c r="D26" s="119"/>
      <c r="E26" s="365">
        <f>K72/2</f>
        <v>266.96500000000003</v>
      </c>
      <c r="F26" s="367">
        <f t="shared" si="2"/>
        <v>533.93000000000006</v>
      </c>
      <c r="G26" s="369">
        <v>16</v>
      </c>
      <c r="H26" s="371">
        <f t="shared" si="3"/>
        <v>32</v>
      </c>
      <c r="I26" s="53"/>
      <c r="O26" s="73"/>
      <c r="P26" s="6"/>
      <c r="Q26" s="75"/>
      <c r="R26" s="6"/>
      <c r="S26" s="75"/>
      <c r="T26" s="75"/>
      <c r="U26" s="90"/>
      <c r="V26" s="90"/>
      <c r="W26" s="96"/>
      <c r="AMJ26"/>
      <c r="AMK26"/>
    </row>
    <row r="27" spans="1:1025" ht="15.75" thickBot="1" x14ac:dyDescent="0.3">
      <c r="A27" s="138" t="s">
        <v>98</v>
      </c>
      <c r="B27" s="117">
        <v>1</v>
      </c>
      <c r="C27" s="120" t="str">
        <f>IF(B27=0,"Existing","")</f>
        <v/>
      </c>
      <c r="D27" s="121"/>
      <c r="E27" s="240">
        <v>20.85</v>
      </c>
      <c r="F27" s="367">
        <f t="shared" si="2"/>
        <v>20.85</v>
      </c>
      <c r="G27" s="369">
        <v>0.75</v>
      </c>
      <c r="H27" s="371">
        <f t="shared" si="3"/>
        <v>0.75</v>
      </c>
      <c r="I27" s="32"/>
      <c r="J27" s="12"/>
      <c r="K27" s="27"/>
      <c r="L27" s="27"/>
      <c r="M27" s="27"/>
      <c r="N27" s="27"/>
      <c r="O27" s="87"/>
      <c r="P27" s="6"/>
      <c r="R27" s="75"/>
      <c r="S27" s="75"/>
      <c r="T27" s="79"/>
      <c r="U27" s="89"/>
      <c r="V27" s="90"/>
      <c r="W27" s="96"/>
      <c r="AMJ27"/>
      <c r="AMK27"/>
    </row>
    <row r="28" spans="1:1025" ht="15.75" thickBot="1" x14ac:dyDescent="0.3">
      <c r="A28" s="138" t="s">
        <v>99</v>
      </c>
      <c r="B28" s="117">
        <v>1</v>
      </c>
      <c r="C28" s="120" t="str">
        <f>IF(B28=0,"Existing","")</f>
        <v/>
      </c>
      <c r="D28" s="121"/>
      <c r="E28" s="240">
        <v>20.85</v>
      </c>
      <c r="F28" s="367">
        <f t="shared" si="2"/>
        <v>20.85</v>
      </c>
      <c r="G28" s="369">
        <v>0.75</v>
      </c>
      <c r="H28" s="371">
        <f t="shared" si="3"/>
        <v>0.75</v>
      </c>
      <c r="I28" s="32"/>
      <c r="J28" s="27"/>
      <c r="L28" s="27"/>
      <c r="M28" s="27"/>
      <c r="N28" s="87"/>
      <c r="O28" s="27"/>
      <c r="P28" s="73"/>
      <c r="Q28" s="75"/>
      <c r="R28" s="75"/>
      <c r="S28" s="75"/>
      <c r="T28" s="6"/>
      <c r="U28" s="89"/>
      <c r="V28" s="90"/>
      <c r="W28" s="96"/>
      <c r="AMJ28"/>
      <c r="AMK28"/>
    </row>
    <row r="29" spans="1:1025" ht="15.75" thickBot="1" x14ac:dyDescent="0.3">
      <c r="A29" s="138" t="s">
        <v>100</v>
      </c>
      <c r="B29" s="117">
        <v>2</v>
      </c>
      <c r="C29" s="120"/>
      <c r="D29" s="121"/>
      <c r="E29" s="240">
        <v>8.9499999999999993</v>
      </c>
      <c r="F29" s="368">
        <f t="shared" si="2"/>
        <v>17.899999999999999</v>
      </c>
      <c r="G29" s="369"/>
      <c r="H29" s="371">
        <f t="shared" si="3"/>
        <v>0</v>
      </c>
      <c r="I29" s="32"/>
      <c r="J29" s="27"/>
      <c r="K29" s="27"/>
      <c r="L29" s="27"/>
      <c r="M29" s="27"/>
      <c r="N29" s="87"/>
      <c r="O29" s="27"/>
      <c r="P29" s="75"/>
      <c r="Q29" s="75"/>
      <c r="R29" s="75"/>
      <c r="S29" s="75"/>
      <c r="T29" s="6"/>
      <c r="U29" s="90"/>
      <c r="V29" s="91"/>
      <c r="W29" s="92"/>
      <c r="AMK29"/>
    </row>
    <row r="30" spans="1:1025" ht="15.75" thickBot="1" x14ac:dyDescent="0.3">
      <c r="A30" s="138" t="s">
        <v>97</v>
      </c>
      <c r="B30" s="117">
        <v>1</v>
      </c>
      <c r="C30" s="120" t="str">
        <f>IF(B30=0,"Existing","")</f>
        <v/>
      </c>
      <c r="D30" s="121"/>
      <c r="E30" s="240">
        <v>16.649999999999999</v>
      </c>
      <c r="F30" s="367">
        <f t="shared" si="2"/>
        <v>16.649999999999999</v>
      </c>
      <c r="G30" s="369">
        <v>0.05</v>
      </c>
      <c r="H30" s="371">
        <f t="shared" si="3"/>
        <v>0.05</v>
      </c>
      <c r="I30" s="32"/>
      <c r="J30" s="51"/>
      <c r="K30" s="34"/>
      <c r="L30" s="52"/>
      <c r="M30" s="34"/>
      <c r="N30" s="77"/>
      <c r="O30" s="27"/>
      <c r="P30" s="31"/>
      <c r="Q30" s="10"/>
      <c r="R30" s="13"/>
      <c r="S30" s="220"/>
      <c r="T30" s="11"/>
      <c r="U30" s="90"/>
      <c r="V30" s="91"/>
      <c r="W30" s="92"/>
      <c r="AMK30"/>
    </row>
    <row r="31" spans="1:1025" ht="15.75" thickBot="1" x14ac:dyDescent="0.3">
      <c r="A31" s="139" t="s">
        <v>26</v>
      </c>
      <c r="B31" s="118">
        <v>1</v>
      </c>
      <c r="C31" s="122"/>
      <c r="D31" s="123"/>
      <c r="E31" s="240">
        <v>27.26</v>
      </c>
      <c r="F31" s="368">
        <f t="shared" si="2"/>
        <v>27.26</v>
      </c>
      <c r="G31" s="369">
        <v>0.05</v>
      </c>
      <c r="H31" s="372">
        <f t="shared" si="3"/>
        <v>0.05</v>
      </c>
      <c r="I31" s="32"/>
      <c r="J31" s="51"/>
      <c r="K31" s="34"/>
      <c r="L31" s="34"/>
      <c r="M31" s="34"/>
      <c r="N31" s="77"/>
      <c r="O31" s="34"/>
      <c r="P31" s="31"/>
      <c r="Q31" s="10"/>
      <c r="R31" s="13"/>
      <c r="S31" s="220"/>
      <c r="T31" s="11"/>
      <c r="AMK31"/>
    </row>
    <row r="32" spans="1:1025" ht="16.5" thickBot="1" x14ac:dyDescent="0.3">
      <c r="A32" s="23"/>
      <c r="B32" s="24"/>
      <c r="C32" s="24"/>
      <c r="D32" s="17"/>
      <c r="E32" s="44" t="s">
        <v>14</v>
      </c>
      <c r="F32" s="45">
        <f>SUM(F25:F29)</f>
        <v>1534.33</v>
      </c>
      <c r="G32" s="46" t="s">
        <v>37</v>
      </c>
      <c r="H32" s="41">
        <f>SUM(H25:H31)</f>
        <v>41.599999999999994</v>
      </c>
      <c r="I32" s="32"/>
      <c r="J32" s="34"/>
      <c r="K32" s="34"/>
      <c r="L32" s="34"/>
      <c r="M32" s="34"/>
      <c r="N32" s="77"/>
      <c r="O32" s="34"/>
      <c r="P32" s="77"/>
      <c r="Q32" s="47"/>
      <c r="R32" s="47"/>
      <c r="S32" s="221"/>
      <c r="T32" s="48"/>
      <c r="U32" s="75"/>
      <c r="V32" s="79"/>
      <c r="W32" s="6"/>
      <c r="AMH32"/>
      <c r="AMI32"/>
      <c r="AMJ32"/>
      <c r="AMK32"/>
    </row>
    <row r="33" spans="1:1027" ht="18" x14ac:dyDescent="0.25">
      <c r="A33" s="140" t="s">
        <v>115</v>
      </c>
      <c r="C33" s="36"/>
      <c r="I33" s="32"/>
      <c r="J33" s="34"/>
      <c r="K33" s="34"/>
      <c r="L33" s="34"/>
      <c r="M33" s="34"/>
      <c r="N33" s="77"/>
      <c r="O33" s="34"/>
      <c r="P33" s="77"/>
      <c r="Q33" s="47"/>
      <c r="R33" s="47"/>
      <c r="S33" s="221"/>
      <c r="T33" s="48"/>
      <c r="U33" s="75"/>
      <c r="V33" s="79"/>
      <c r="W33" s="6"/>
      <c r="AMH33"/>
      <c r="AMI33"/>
      <c r="AMJ33"/>
      <c r="AMK33"/>
    </row>
    <row r="34" spans="1:1027" ht="15.75" thickBot="1" x14ac:dyDescent="0.3">
      <c r="A34" s="149" t="str">
        <f>A38</f>
        <v>I'M SOLAR 280P  Polycrystallin</v>
      </c>
      <c r="C34" s="36"/>
      <c r="I34" s="33"/>
      <c r="J34" s="224"/>
      <c r="K34" s="12"/>
      <c r="L34" s="34"/>
      <c r="M34" s="34"/>
      <c r="N34" s="34"/>
      <c r="O34" s="34"/>
      <c r="P34" s="77"/>
      <c r="Q34" s="47"/>
      <c r="R34" s="47"/>
      <c r="S34" s="221"/>
      <c r="T34" s="48"/>
      <c r="U34" s="6"/>
      <c r="V34" s="4"/>
      <c r="AML34" s="4"/>
    </row>
    <row r="35" spans="1:1027" x14ac:dyDescent="0.25">
      <c r="A35" s="155" t="s">
        <v>108</v>
      </c>
      <c r="B35" s="217"/>
      <c r="I35" s="16"/>
      <c r="J35" s="150"/>
      <c r="K35" s="12"/>
      <c r="L35" s="34"/>
      <c r="M35" s="34"/>
      <c r="N35" s="34"/>
      <c r="O35" s="34"/>
      <c r="P35" s="77"/>
      <c r="Q35" s="47"/>
      <c r="R35" s="47"/>
      <c r="S35" s="221"/>
      <c r="T35" s="48"/>
      <c r="U35" s="4"/>
      <c r="V35" s="4"/>
      <c r="X35" s="6"/>
      <c r="AML35" s="4"/>
      <c r="AMM35" s="4"/>
    </row>
    <row r="36" spans="1:1027" ht="15.75" thickBot="1" x14ac:dyDescent="0.3">
      <c r="J36" s="16"/>
      <c r="K36" s="12"/>
      <c r="L36" s="34"/>
      <c r="M36" s="34"/>
      <c r="N36" s="34"/>
      <c r="O36" s="34"/>
      <c r="P36" s="77"/>
      <c r="Q36" s="77"/>
      <c r="R36" s="77"/>
      <c r="S36" s="77"/>
      <c r="T36" s="34"/>
      <c r="U36" s="4"/>
      <c r="V36" s="4"/>
      <c r="AMK36"/>
    </row>
    <row r="37" spans="1:1027" ht="18.75" thickBot="1" x14ac:dyDescent="0.3">
      <c r="A37" s="169" t="s">
        <v>105</v>
      </c>
      <c r="B37" s="170" t="s">
        <v>21</v>
      </c>
      <c r="C37" s="171" t="s">
        <v>128</v>
      </c>
      <c r="D37" s="172" t="s">
        <v>17</v>
      </c>
      <c r="E37" s="173" t="s">
        <v>17</v>
      </c>
      <c r="F37" s="174" t="s">
        <v>18</v>
      </c>
      <c r="G37" s="175" t="s">
        <v>15</v>
      </c>
      <c r="H37" s="176" t="s">
        <v>19</v>
      </c>
      <c r="I37" s="14"/>
      <c r="J37" s="16"/>
      <c r="K37" s="16"/>
      <c r="L37" s="12"/>
      <c r="M37" s="34"/>
      <c r="N37" s="34"/>
      <c r="O37" s="34"/>
      <c r="P37" s="34"/>
      <c r="Q37" s="77"/>
      <c r="R37" s="34"/>
      <c r="S37" s="77"/>
      <c r="T37" s="77"/>
      <c r="U37" s="4"/>
      <c r="V37" s="4"/>
      <c r="AMJ37"/>
      <c r="AMK37"/>
    </row>
    <row r="38" spans="1:1027" ht="16.5" thickBot="1" x14ac:dyDescent="0.3">
      <c r="A38" s="388" t="str">
        <f>A69</f>
        <v>I'M SOLAR 280P  Polycrystallin</v>
      </c>
      <c r="B38" s="242">
        <f>IF(H9=0,J14,H9)</f>
        <v>5</v>
      </c>
      <c r="C38" s="243">
        <f>M14/K15/0.95</f>
        <v>4.7944961019474288</v>
      </c>
      <c r="D38" s="240">
        <f>K69</f>
        <v>112.81600000000002</v>
      </c>
      <c r="E38" s="43">
        <f>B38*D38+198</f>
        <v>762.08</v>
      </c>
      <c r="F38" s="239">
        <v>18.5</v>
      </c>
      <c r="G38" s="389">
        <f>K14</f>
        <v>280</v>
      </c>
      <c r="H38" s="177">
        <f>B38*F38</f>
        <v>92.5</v>
      </c>
      <c r="I38" s="14"/>
      <c r="J38" s="16"/>
      <c r="K38" s="16"/>
      <c r="L38" s="12"/>
      <c r="M38" s="9"/>
      <c r="N38" s="9"/>
      <c r="O38" s="9"/>
      <c r="P38" s="9"/>
      <c r="Q38" s="77"/>
      <c r="R38" s="34"/>
      <c r="S38" s="77"/>
      <c r="T38" s="77"/>
      <c r="U38" s="4"/>
      <c r="V38" s="4"/>
      <c r="AMJ38"/>
      <c r="AMK38"/>
    </row>
    <row r="39" spans="1:1027" ht="15.75" thickBot="1" x14ac:dyDescent="0.3">
      <c r="A39" s="388">
        <f>E77</f>
        <v>0</v>
      </c>
      <c r="B39" s="241">
        <v>1</v>
      </c>
      <c r="C39" s="37"/>
      <c r="D39" s="240">
        <f>K78</f>
        <v>300.608</v>
      </c>
      <c r="E39" s="43">
        <f>D39</f>
        <v>300.608</v>
      </c>
      <c r="F39" s="239">
        <v>5</v>
      </c>
      <c r="G39" s="137"/>
      <c r="H39" s="177">
        <f>B39*F39</f>
        <v>5</v>
      </c>
      <c r="I39" s="14"/>
      <c r="J39" s="34"/>
      <c r="K39" s="34"/>
      <c r="L39" s="9"/>
      <c r="M39" s="9"/>
      <c r="N39" s="9"/>
      <c r="O39" s="9"/>
      <c r="P39" s="9"/>
      <c r="R39" s="34"/>
      <c r="S39" s="77"/>
      <c r="T39" s="77"/>
      <c r="U39" s="34"/>
      <c r="V39" s="34"/>
      <c r="W39" s="34"/>
      <c r="AMK39"/>
    </row>
    <row r="40" spans="1:1027" ht="15.75" thickBot="1" x14ac:dyDescent="0.3">
      <c r="A40" s="178" t="s">
        <v>76</v>
      </c>
      <c r="B40" s="105">
        <v>1</v>
      </c>
      <c r="C40" s="50"/>
      <c r="D40" s="240">
        <v>67.400000000000006</v>
      </c>
      <c r="E40" s="43">
        <f t="shared" ref="E40:E44" si="4">D40*B40</f>
        <v>67.400000000000006</v>
      </c>
      <c r="F40" s="250">
        <v>0.1</v>
      </c>
      <c r="G40" s="137"/>
      <c r="H40" s="177">
        <f>B40*F40</f>
        <v>0.1</v>
      </c>
      <c r="I40" s="15"/>
      <c r="J40" s="34"/>
      <c r="K40" s="16"/>
      <c r="L40" s="16"/>
      <c r="M40" s="16"/>
      <c r="N40" s="16"/>
      <c r="O40" s="9"/>
      <c r="P40" s="10"/>
      <c r="R40" s="73"/>
      <c r="U40" s="34"/>
      <c r="V40" s="34"/>
      <c r="W40" s="34"/>
      <c r="AMK40"/>
    </row>
    <row r="41" spans="1:1027" s="49" customFormat="1" ht="17.25" customHeight="1" thickBot="1" x14ac:dyDescent="0.3">
      <c r="A41" s="178" t="s">
        <v>94</v>
      </c>
      <c r="B41" s="105">
        <v>1</v>
      </c>
      <c r="C41" s="37"/>
      <c r="D41" s="240">
        <v>107.5</v>
      </c>
      <c r="E41" s="43">
        <f t="shared" si="4"/>
        <v>107.5</v>
      </c>
      <c r="F41" s="250"/>
      <c r="G41" s="137"/>
      <c r="H41" s="177"/>
      <c r="I41" s="35"/>
      <c r="J41" s="34"/>
      <c r="K41" s="16"/>
      <c r="L41" s="16"/>
      <c r="M41" s="16"/>
      <c r="N41" s="16"/>
      <c r="O41" s="16"/>
      <c r="P41" s="10"/>
      <c r="Q41" s="10"/>
      <c r="R41" s="10"/>
      <c r="S41" s="10"/>
      <c r="T41" s="10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</row>
    <row r="42" spans="1:1027" s="49" customFormat="1" ht="15.75" thickBot="1" x14ac:dyDescent="0.3">
      <c r="A42" s="178" t="s">
        <v>95</v>
      </c>
      <c r="B42" s="105">
        <v>4</v>
      </c>
      <c r="C42" s="37"/>
      <c r="D42" s="240">
        <v>10.5</v>
      </c>
      <c r="E42" s="43">
        <f t="shared" si="4"/>
        <v>42</v>
      </c>
      <c r="F42" s="250"/>
      <c r="G42" s="137"/>
      <c r="H42" s="177">
        <f>B42*F42</f>
        <v>0</v>
      </c>
      <c r="I42" s="12"/>
      <c r="J42" s="34"/>
      <c r="K42" s="16"/>
      <c r="L42" s="16"/>
      <c r="M42" s="16"/>
      <c r="N42" s="9"/>
      <c r="O42" s="10"/>
      <c r="P42" s="10"/>
      <c r="Q42" s="10"/>
      <c r="R42" s="10"/>
      <c r="S42" s="76"/>
      <c r="T42" s="76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</row>
    <row r="43" spans="1:1027" s="49" customFormat="1" ht="15.75" thickBot="1" x14ac:dyDescent="0.3">
      <c r="A43" s="178" t="s">
        <v>55</v>
      </c>
      <c r="B43" s="105">
        <v>0</v>
      </c>
      <c r="C43" s="50"/>
      <c r="D43" s="240">
        <f>22.9*1.07</f>
        <v>24.503</v>
      </c>
      <c r="E43" s="168">
        <f t="shared" si="4"/>
        <v>0</v>
      </c>
      <c r="F43" s="250">
        <v>1.5</v>
      </c>
      <c r="G43" s="137"/>
      <c r="H43" s="177">
        <f>B43*F43</f>
        <v>0</v>
      </c>
      <c r="I43" s="224"/>
      <c r="J43" s="4"/>
      <c r="K43" s="16"/>
      <c r="L43" s="16"/>
      <c r="M43" s="16"/>
      <c r="N43" s="9"/>
      <c r="O43" s="10"/>
      <c r="P43" s="10"/>
      <c r="Q43" s="10"/>
      <c r="R43" s="10"/>
      <c r="S43" s="76"/>
      <c r="T43" s="76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</row>
    <row r="44" spans="1:1027" s="49" customFormat="1" ht="15.75" thickBot="1" x14ac:dyDescent="0.3">
      <c r="A44" s="179" t="s">
        <v>101</v>
      </c>
      <c r="B44" s="180">
        <v>0</v>
      </c>
      <c r="C44" s="181"/>
      <c r="D44" s="240">
        <v>41</v>
      </c>
      <c r="E44" s="182">
        <f t="shared" si="4"/>
        <v>0</v>
      </c>
      <c r="F44" s="250">
        <v>1.5</v>
      </c>
      <c r="G44" s="183"/>
      <c r="H44" s="184">
        <f>B44*F44</f>
        <v>0</v>
      </c>
      <c r="I44" s="150"/>
      <c r="J44" s="4"/>
      <c r="K44" s="4"/>
      <c r="L44" s="16"/>
      <c r="M44" s="4"/>
      <c r="N44" s="141"/>
      <c r="O44" s="141"/>
      <c r="P44" s="10"/>
      <c r="Q44" s="10"/>
      <c r="R44" s="10"/>
      <c r="S44" s="76"/>
      <c r="T44" s="76"/>
      <c r="U44" s="77"/>
      <c r="V44" s="80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</row>
    <row r="45" spans="1:1027" s="49" customFormat="1" ht="15.75" thickBot="1" x14ac:dyDescent="0.3">
      <c r="A45" s="156"/>
      <c r="B45" s="157"/>
      <c r="C45" s="158"/>
      <c r="D45" s="159"/>
      <c r="E45" s="160"/>
      <c r="F45" s="161"/>
      <c r="G45" s="161"/>
      <c r="H45" s="54">
        <f>SUM(H38:H44)</f>
        <v>97.6</v>
      </c>
      <c r="I45" s="9"/>
      <c r="J45" s="4"/>
      <c r="K45" s="16"/>
      <c r="L45" s="16"/>
      <c r="M45" s="4"/>
      <c r="N45" s="16"/>
      <c r="O45" s="4"/>
      <c r="P45" s="10"/>
      <c r="Q45" s="76"/>
      <c r="R45" s="76"/>
      <c r="S45" s="73"/>
      <c r="T45" s="73"/>
      <c r="U45" s="77"/>
      <c r="V45" s="80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</row>
    <row r="46" spans="1:1027" s="49" customFormat="1" ht="16.5" thickBot="1" x14ac:dyDescent="0.3">
      <c r="A46" s="18"/>
      <c r="B46" s="101">
        <f>SUM(B38:B38)</f>
        <v>5</v>
      </c>
      <c r="C46" s="19" t="s">
        <v>111</v>
      </c>
      <c r="D46" s="19"/>
      <c r="E46" s="44" t="s">
        <v>20</v>
      </c>
      <c r="F46" s="102">
        <f>SUM(E38:E44)</f>
        <v>1279.5880000000002</v>
      </c>
      <c r="G46" s="40"/>
      <c r="H46" s="99"/>
      <c r="J46" s="4"/>
      <c r="K46" s="16"/>
      <c r="L46" s="16"/>
      <c r="M46" s="4"/>
      <c r="N46" s="16"/>
      <c r="O46" s="4"/>
      <c r="P46" s="10"/>
      <c r="Q46" s="76"/>
      <c r="R46" s="76"/>
      <c r="S46" s="73"/>
      <c r="T46" s="73"/>
      <c r="U46" s="77"/>
      <c r="V46" s="80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  <c r="AMC46" s="34"/>
      <c r="AMD46" s="34"/>
      <c r="AME46" s="34"/>
      <c r="AMF46" s="34"/>
      <c r="AMG46" s="34"/>
      <c r="AMH46" s="34"/>
      <c r="AMI46" s="34"/>
      <c r="AMJ46" s="34"/>
      <c r="AMK46" s="34"/>
      <c r="AML46" s="34"/>
      <c r="AMM46" s="34"/>
    </row>
    <row r="47" spans="1:1027" s="49" customFormat="1" ht="16.5" thickBot="1" x14ac:dyDescent="0.3">
      <c r="A47" s="21"/>
      <c r="B47" s="4"/>
      <c r="C47" s="4"/>
      <c r="D47" s="4"/>
      <c r="E47" s="110" t="s">
        <v>22</v>
      </c>
      <c r="F47" s="109">
        <f>F32+F46</f>
        <v>2813.9180000000001</v>
      </c>
      <c r="G47" s="272" t="s">
        <v>17</v>
      </c>
      <c r="H47" s="40"/>
      <c r="I47" s="100"/>
      <c r="J47" s="4"/>
      <c r="K47" s="4"/>
      <c r="L47" s="4"/>
      <c r="M47" s="4"/>
      <c r="N47" s="4"/>
      <c r="O47" s="4"/>
      <c r="P47" s="4"/>
      <c r="Q47" s="73"/>
      <c r="R47" s="4"/>
      <c r="S47" s="73"/>
      <c r="T47" s="73"/>
      <c r="U47" s="78"/>
      <c r="V47" s="4"/>
      <c r="W47" s="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</row>
    <row r="48" spans="1:1027" s="49" customFormat="1" ht="15.75" thickBot="1" x14ac:dyDescent="0.3">
      <c r="A48" s="4"/>
      <c r="B48" s="20"/>
      <c r="C48" s="19"/>
      <c r="D48" s="19"/>
      <c r="E48" s="38"/>
      <c r="F48" s="39"/>
      <c r="G48" s="40"/>
      <c r="H48" s="16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</row>
    <row r="49" spans="1:1026" ht="16.5" customHeight="1" thickBot="1" x14ac:dyDescent="0.3">
      <c r="A49" s="56" t="s">
        <v>146</v>
      </c>
      <c r="B49" s="301" t="s">
        <v>21</v>
      </c>
      <c r="C49" s="302" t="s">
        <v>0</v>
      </c>
      <c r="D49" s="64" t="s">
        <v>35</v>
      </c>
      <c r="E49" s="302" t="s">
        <v>49</v>
      </c>
      <c r="F49" s="302" t="s">
        <v>50</v>
      </c>
      <c r="G49" s="57" t="s">
        <v>51</v>
      </c>
      <c r="H49" s="16"/>
      <c r="AML49" s="4"/>
    </row>
    <row r="50" spans="1:1026" x14ac:dyDescent="0.25">
      <c r="A50" s="151" t="s">
        <v>93</v>
      </c>
      <c r="B50" s="379">
        <v>1</v>
      </c>
      <c r="C50" s="373">
        <v>220</v>
      </c>
      <c r="D50" s="303">
        <v>1</v>
      </c>
      <c r="E50" s="304">
        <v>750</v>
      </c>
      <c r="F50" s="305">
        <v>1</v>
      </c>
      <c r="G50" s="376">
        <f t="shared" ref="G50:G52" si="5">B50*E50*F50</f>
        <v>750</v>
      </c>
      <c r="AML50" s="4"/>
    </row>
    <row r="51" spans="1:1026" x14ac:dyDescent="0.25">
      <c r="A51" s="151" t="s">
        <v>4</v>
      </c>
      <c r="B51" s="379">
        <v>1</v>
      </c>
      <c r="C51" s="373">
        <v>24</v>
      </c>
      <c r="D51" s="303">
        <v>1</v>
      </c>
      <c r="E51" s="304">
        <v>30</v>
      </c>
      <c r="F51" s="305">
        <v>2</v>
      </c>
      <c r="G51" s="377">
        <f t="shared" si="5"/>
        <v>60</v>
      </c>
    </row>
    <row r="52" spans="1:1026" x14ac:dyDescent="0.25">
      <c r="A52" s="151" t="s">
        <v>59</v>
      </c>
      <c r="B52" s="379">
        <v>1</v>
      </c>
      <c r="C52" s="373">
        <v>24</v>
      </c>
      <c r="D52" s="303">
        <v>1</v>
      </c>
      <c r="E52" s="304">
        <v>15</v>
      </c>
      <c r="F52" s="305">
        <v>0.1</v>
      </c>
      <c r="G52" s="377">
        <f t="shared" si="5"/>
        <v>1.5</v>
      </c>
    </row>
    <row r="53" spans="1:1026" x14ac:dyDescent="0.25">
      <c r="A53" s="151" t="s">
        <v>24</v>
      </c>
      <c r="B53" s="379">
        <f t="shared" ref="B53:B64" si="6">D53</f>
        <v>1</v>
      </c>
      <c r="C53" s="373">
        <v>220</v>
      </c>
      <c r="D53" s="303">
        <v>1</v>
      </c>
      <c r="E53" s="304">
        <v>1000</v>
      </c>
      <c r="F53" s="305">
        <v>0.5</v>
      </c>
      <c r="G53" s="377">
        <f>D53*E53*F53</f>
        <v>500</v>
      </c>
      <c r="H53"/>
    </row>
    <row r="54" spans="1:1026" x14ac:dyDescent="0.25">
      <c r="A54" s="151" t="s">
        <v>5</v>
      </c>
      <c r="B54" s="379">
        <f t="shared" si="6"/>
        <v>0</v>
      </c>
      <c r="C54" s="373">
        <v>220</v>
      </c>
      <c r="D54" s="303">
        <v>0</v>
      </c>
      <c r="E54" s="304">
        <v>2500</v>
      </c>
      <c r="F54" s="305">
        <v>4</v>
      </c>
      <c r="G54" s="377">
        <f t="shared" ref="G54:G64" si="7">D54*E54*F54</f>
        <v>0</v>
      </c>
      <c r="AMI54"/>
      <c r="AMJ54"/>
      <c r="AMK54"/>
    </row>
    <row r="55" spans="1:1026" x14ac:dyDescent="0.25">
      <c r="A55" s="151" t="s">
        <v>6</v>
      </c>
      <c r="B55" s="379">
        <f t="shared" si="6"/>
        <v>0</v>
      </c>
      <c r="C55" s="373">
        <v>220</v>
      </c>
      <c r="D55" s="303">
        <v>0</v>
      </c>
      <c r="E55" s="304">
        <v>500</v>
      </c>
      <c r="F55" s="305">
        <v>4</v>
      </c>
      <c r="G55" s="377">
        <f t="shared" si="7"/>
        <v>0</v>
      </c>
      <c r="AMH55"/>
      <c r="AMI55"/>
      <c r="AMJ55"/>
      <c r="AMK55"/>
    </row>
    <row r="56" spans="1:1026" x14ac:dyDescent="0.25">
      <c r="A56" s="151" t="s">
        <v>7</v>
      </c>
      <c r="B56" s="379">
        <v>0</v>
      </c>
      <c r="C56" s="373">
        <v>220</v>
      </c>
      <c r="D56" s="303">
        <v>0</v>
      </c>
      <c r="E56" s="304">
        <v>1500</v>
      </c>
      <c r="F56" s="305">
        <v>24</v>
      </c>
      <c r="G56" s="377">
        <f t="shared" si="7"/>
        <v>0</v>
      </c>
      <c r="AMH56"/>
      <c r="AMI56"/>
      <c r="AMJ56"/>
      <c r="AMK56"/>
    </row>
    <row r="57" spans="1:1026" ht="16.5" customHeight="1" x14ac:dyDescent="0.25">
      <c r="A57" s="151" t="s">
        <v>8</v>
      </c>
      <c r="B57" s="379">
        <v>0</v>
      </c>
      <c r="C57" s="373">
        <v>220</v>
      </c>
      <c r="D57" s="303">
        <v>0</v>
      </c>
      <c r="E57" s="304">
        <v>2000</v>
      </c>
      <c r="F57" s="305">
        <v>8</v>
      </c>
      <c r="G57" s="377">
        <f t="shared" si="7"/>
        <v>0</v>
      </c>
      <c r="H57" s="271"/>
      <c r="AMG57"/>
      <c r="AMH57"/>
      <c r="AMI57"/>
      <c r="AMJ57"/>
      <c r="AMK57"/>
    </row>
    <row r="58" spans="1:1026" x14ac:dyDescent="0.25">
      <c r="A58" s="151" t="s">
        <v>9</v>
      </c>
      <c r="B58" s="379">
        <v>0</v>
      </c>
      <c r="C58" s="373">
        <v>220</v>
      </c>
      <c r="D58" s="303">
        <v>0</v>
      </c>
      <c r="E58" s="304">
        <v>2500</v>
      </c>
      <c r="F58" s="305">
        <v>8</v>
      </c>
      <c r="G58" s="377">
        <f t="shared" si="7"/>
        <v>0</v>
      </c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</row>
    <row r="59" spans="1:1026" x14ac:dyDescent="0.25">
      <c r="A59" s="151" t="s">
        <v>10</v>
      </c>
      <c r="B59" s="379">
        <v>0</v>
      </c>
      <c r="C59" s="373">
        <v>220</v>
      </c>
      <c r="D59" s="303">
        <v>0</v>
      </c>
      <c r="E59" s="304">
        <v>180</v>
      </c>
      <c r="F59" s="305">
        <v>8</v>
      </c>
      <c r="G59" s="377">
        <f t="shared" si="7"/>
        <v>0</v>
      </c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</row>
    <row r="60" spans="1:1026" x14ac:dyDescent="0.25">
      <c r="A60" s="151" t="s">
        <v>3</v>
      </c>
      <c r="B60" s="379">
        <f t="shared" si="6"/>
        <v>1</v>
      </c>
      <c r="C60" s="373">
        <v>220</v>
      </c>
      <c r="D60" s="303">
        <v>1</v>
      </c>
      <c r="E60" s="304">
        <v>120</v>
      </c>
      <c r="F60" s="305">
        <v>8</v>
      </c>
      <c r="G60" s="377">
        <f t="shared" si="7"/>
        <v>960</v>
      </c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</row>
    <row r="61" spans="1:1026" x14ac:dyDescent="0.25">
      <c r="A61" s="151" t="s">
        <v>11</v>
      </c>
      <c r="B61" s="379">
        <f t="shared" si="6"/>
        <v>0</v>
      </c>
      <c r="C61" s="373">
        <v>220</v>
      </c>
      <c r="D61" s="303">
        <v>0</v>
      </c>
      <c r="E61" s="304">
        <v>1200</v>
      </c>
      <c r="F61" s="305">
        <v>1.5</v>
      </c>
      <c r="G61" s="377">
        <f t="shared" si="7"/>
        <v>0</v>
      </c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</row>
    <row r="62" spans="1:1026" x14ac:dyDescent="0.25">
      <c r="A62" s="151" t="s">
        <v>12</v>
      </c>
      <c r="B62" s="379">
        <f t="shared" si="6"/>
        <v>1</v>
      </c>
      <c r="C62" s="373">
        <v>220</v>
      </c>
      <c r="D62" s="303">
        <v>1</v>
      </c>
      <c r="E62" s="304">
        <v>200</v>
      </c>
      <c r="F62" s="305">
        <v>2</v>
      </c>
      <c r="G62" s="377">
        <f t="shared" si="7"/>
        <v>400</v>
      </c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</row>
    <row r="63" spans="1:1026" x14ac:dyDescent="0.25">
      <c r="A63" s="151" t="s">
        <v>60</v>
      </c>
      <c r="B63" s="379">
        <f>D63</f>
        <v>1</v>
      </c>
      <c r="C63" s="373">
        <v>220</v>
      </c>
      <c r="D63" s="303">
        <v>1</v>
      </c>
      <c r="E63" s="304">
        <v>2500</v>
      </c>
      <c r="F63" s="305">
        <v>0.2</v>
      </c>
      <c r="G63" s="377">
        <f t="shared" si="7"/>
        <v>500</v>
      </c>
      <c r="AMI63"/>
      <c r="AMJ63"/>
      <c r="AMK63"/>
    </row>
    <row r="64" spans="1:1026" ht="15.75" thickBot="1" x14ac:dyDescent="0.3">
      <c r="A64" s="152" t="s">
        <v>13</v>
      </c>
      <c r="B64" s="380">
        <f t="shared" si="6"/>
        <v>0</v>
      </c>
      <c r="C64" s="374">
        <v>220</v>
      </c>
      <c r="D64" s="306">
        <v>0</v>
      </c>
      <c r="E64" s="307">
        <v>1200</v>
      </c>
      <c r="F64" s="308">
        <v>1</v>
      </c>
      <c r="G64" s="378">
        <f t="shared" si="7"/>
        <v>0</v>
      </c>
      <c r="AMI64"/>
      <c r="AMJ64"/>
      <c r="AMK64"/>
    </row>
    <row r="65" spans="1:1026" ht="15.75" thickBot="1" x14ac:dyDescent="0.3">
      <c r="A65" s="25"/>
      <c r="B65" s="26"/>
      <c r="C65" s="26"/>
      <c r="D65" s="26"/>
      <c r="E65" s="375">
        <f>SUM(E6:E64)</f>
        <v>26798.750447948165</v>
      </c>
      <c r="F65" s="249" t="s">
        <v>49</v>
      </c>
      <c r="G65" s="375">
        <f>SUM(G50:G64)</f>
        <v>3171.5</v>
      </c>
      <c r="AMG65"/>
      <c r="AMH65"/>
      <c r="AMI65"/>
      <c r="AMJ65"/>
      <c r="AMK65"/>
    </row>
    <row r="66" spans="1:1026" x14ac:dyDescent="0.25">
      <c r="AMG66"/>
      <c r="AMH66"/>
      <c r="AMI66"/>
      <c r="AMJ66"/>
      <c r="AMK66"/>
    </row>
    <row r="67" spans="1:1026" ht="15.75" thickBot="1" x14ac:dyDescent="0.3">
      <c r="A67" s="426" t="s">
        <v>140</v>
      </c>
      <c r="D67" s="423" t="s">
        <v>154</v>
      </c>
      <c r="E67" s="49"/>
      <c r="F67" s="49"/>
      <c r="G67" s="49"/>
      <c r="AMG67"/>
      <c r="AMH67"/>
      <c r="AMI67"/>
      <c r="AMJ67"/>
      <c r="AMK67"/>
    </row>
    <row r="68" spans="1:1026" ht="16.5" thickBot="1" x14ac:dyDescent="0.3">
      <c r="A68" s="412" t="s">
        <v>151</v>
      </c>
      <c r="B68" s="413"/>
      <c r="C68" s="413"/>
      <c r="D68" s="419" t="s">
        <v>89</v>
      </c>
      <c r="E68" s="185" t="s">
        <v>1</v>
      </c>
      <c r="F68" s="186" t="s">
        <v>67</v>
      </c>
      <c r="G68" s="187" t="s">
        <v>70</v>
      </c>
      <c r="H68" s="188" t="s">
        <v>80</v>
      </c>
      <c r="I68" s="185" t="s">
        <v>86</v>
      </c>
      <c r="J68" s="185" t="s">
        <v>64</v>
      </c>
      <c r="K68" s="189" t="s">
        <v>17</v>
      </c>
      <c r="L68" s="185" t="s">
        <v>90</v>
      </c>
      <c r="M68" s="185" t="s">
        <v>113</v>
      </c>
      <c r="N68" s="166" t="s">
        <v>114</v>
      </c>
      <c r="O68" s="124" t="s">
        <v>18</v>
      </c>
      <c r="P68" s="162" t="s">
        <v>112</v>
      </c>
      <c r="Q68" s="4"/>
      <c r="R68" s="34"/>
      <c r="S68" s="34"/>
      <c r="T68" s="34"/>
      <c r="AMG68"/>
      <c r="AMH68"/>
      <c r="AMI68"/>
      <c r="AMJ68"/>
      <c r="AMK68"/>
    </row>
    <row r="69" spans="1:1026" ht="15" customHeight="1" thickBot="1" x14ac:dyDescent="0.3">
      <c r="A69" s="427" t="s">
        <v>96</v>
      </c>
      <c r="B69" s="428"/>
      <c r="C69" s="429"/>
      <c r="D69" s="420"/>
      <c r="E69" s="383">
        <v>280</v>
      </c>
      <c r="F69" s="383">
        <v>38.33</v>
      </c>
      <c r="G69" s="383">
        <v>9.4</v>
      </c>
      <c r="H69" s="383">
        <v>1665</v>
      </c>
      <c r="I69" s="383">
        <v>1005</v>
      </c>
      <c r="J69" s="383">
        <v>35</v>
      </c>
      <c r="K69" s="269">
        <f>102.56*1.1</f>
        <v>112.81600000000002</v>
      </c>
      <c r="L69" s="382">
        <v>1802</v>
      </c>
      <c r="M69" s="190">
        <v>5</v>
      </c>
      <c r="N69" s="381">
        <f>K69*M69+197</f>
        <v>761.08</v>
      </c>
      <c r="O69" s="163">
        <v>19</v>
      </c>
      <c r="P69" s="142">
        <f>M69*O69</f>
        <v>95</v>
      </c>
      <c r="Q69" s="4"/>
      <c r="S69" s="4"/>
      <c r="T69" s="4"/>
      <c r="AMG69"/>
      <c r="AMH69"/>
      <c r="AMI69"/>
      <c r="AMJ69"/>
      <c r="AMK69"/>
    </row>
    <row r="70" spans="1:1026" ht="15.75" thickBot="1" x14ac:dyDescent="0.3">
      <c r="A70" s="390"/>
      <c r="B70" s="390"/>
      <c r="C70" s="390"/>
      <c r="D70" s="414"/>
      <c r="E70" s="430">
        <f>K15</f>
        <v>306.017</v>
      </c>
      <c r="J70" s="73"/>
      <c r="L70" s="219"/>
      <c r="Q70" s="4"/>
      <c r="S70" s="4"/>
      <c r="T70" s="4"/>
      <c r="AMH70"/>
      <c r="AMI70"/>
      <c r="AMJ70"/>
      <c r="AMK70"/>
    </row>
    <row r="71" spans="1:1026" ht="16.5" thickBot="1" x14ac:dyDescent="0.3">
      <c r="A71" s="412" t="s">
        <v>152</v>
      </c>
      <c r="B71" s="413"/>
      <c r="C71" s="413"/>
      <c r="D71" s="421" t="s">
        <v>91</v>
      </c>
      <c r="E71" s="191"/>
      <c r="F71" s="192" t="s">
        <v>23</v>
      </c>
      <c r="G71" s="192" t="s">
        <v>0</v>
      </c>
      <c r="H71" s="193" t="s">
        <v>25</v>
      </c>
      <c r="I71" s="194"/>
      <c r="J71" s="194"/>
      <c r="K71" s="195" t="s">
        <v>17</v>
      </c>
      <c r="L71" s="194" t="s">
        <v>63</v>
      </c>
      <c r="M71" s="191"/>
      <c r="N71" s="189" t="s">
        <v>114</v>
      </c>
      <c r="O71" s="212" t="s">
        <v>88</v>
      </c>
      <c r="P71" s="213"/>
      <c r="Q71" s="4"/>
      <c r="S71" s="4"/>
      <c r="T71" s="4"/>
      <c r="AMH71"/>
      <c r="AMI71"/>
      <c r="AMJ71"/>
      <c r="AMK71"/>
    </row>
    <row r="72" spans="1:1026" ht="16.5" thickBot="1" x14ac:dyDescent="0.3">
      <c r="A72" s="427" t="s">
        <v>150</v>
      </c>
      <c r="B72" s="428"/>
      <c r="C72" s="429"/>
      <c r="D72" s="422"/>
      <c r="E72" s="384">
        <v>100</v>
      </c>
      <c r="F72" s="384">
        <f>E72*G72</f>
        <v>1280</v>
      </c>
      <c r="G72" s="384">
        <v>12.8</v>
      </c>
      <c r="H72" s="384">
        <v>2</v>
      </c>
      <c r="I72" s="197"/>
      <c r="J72" s="198"/>
      <c r="K72" s="385">
        <f>998*1.07/2</f>
        <v>533.93000000000006</v>
      </c>
      <c r="L72" s="222"/>
      <c r="M72" s="199"/>
      <c r="N72" s="381">
        <f>K72*2</f>
        <v>1067.8600000000001</v>
      </c>
      <c r="O72" s="214">
        <v>16</v>
      </c>
      <c r="P72" s="215">
        <f>H72*O72</f>
        <v>32</v>
      </c>
      <c r="Q72" s="4"/>
      <c r="S72" s="4"/>
      <c r="T72" s="4"/>
      <c r="AMH72"/>
      <c r="AMI72"/>
      <c r="AMJ72"/>
      <c r="AMK72"/>
    </row>
    <row r="73" spans="1:1026" ht="16.5" thickBot="1" x14ac:dyDescent="0.3">
      <c r="A73" s="111"/>
      <c r="B73" s="111"/>
      <c r="C73" s="111"/>
      <c r="D73" s="414"/>
      <c r="E73" s="111"/>
      <c r="F73" s="111"/>
      <c r="G73" s="132"/>
      <c r="H73" s="111"/>
      <c r="I73" s="124"/>
      <c r="J73" s="124"/>
      <c r="K73" s="133"/>
      <c r="L73" s="130"/>
      <c r="M73" s="111"/>
      <c r="N73" s="111"/>
      <c r="O73" s="216"/>
      <c r="P73" s="213"/>
      <c r="Q73" s="4"/>
      <c r="S73" s="4"/>
      <c r="T73" s="4"/>
      <c r="AMJ73"/>
      <c r="AMK73"/>
    </row>
    <row r="74" spans="1:1026" ht="16.5" thickBot="1" x14ac:dyDescent="0.3">
      <c r="A74" s="412" t="s">
        <v>153</v>
      </c>
      <c r="B74" s="413"/>
      <c r="C74" s="413"/>
      <c r="D74" s="419" t="s">
        <v>84</v>
      </c>
      <c r="E74" s="200" t="s">
        <v>66</v>
      </c>
      <c r="F74" s="200"/>
      <c r="G74" s="200" t="s">
        <v>0</v>
      </c>
      <c r="H74" s="200" t="s">
        <v>72</v>
      </c>
      <c r="I74" s="201" t="s">
        <v>68</v>
      </c>
      <c r="J74" s="202" t="s">
        <v>73</v>
      </c>
      <c r="K74" s="189" t="s">
        <v>17</v>
      </c>
      <c r="L74" s="203"/>
      <c r="M74" s="204"/>
      <c r="N74" s="204"/>
      <c r="O74" s="216"/>
      <c r="P74" s="213"/>
      <c r="Q74" s="4"/>
      <c r="S74" s="4"/>
      <c r="T74" s="4"/>
      <c r="AMK74"/>
    </row>
    <row r="75" spans="1:1026" ht="16.5" thickBot="1" x14ac:dyDescent="0.3">
      <c r="A75" s="427" t="s">
        <v>124</v>
      </c>
      <c r="B75" s="428"/>
      <c r="C75" s="429"/>
      <c r="D75" s="420"/>
      <c r="E75" s="196">
        <v>3000</v>
      </c>
      <c r="F75" s="196" t="s">
        <v>69</v>
      </c>
      <c r="G75" s="196">
        <v>230</v>
      </c>
      <c r="H75" s="268" t="s">
        <v>75</v>
      </c>
      <c r="I75" s="206" t="s">
        <v>74</v>
      </c>
      <c r="J75" s="207" t="s">
        <v>74</v>
      </c>
      <c r="K75" s="270">
        <f>940.8</f>
        <v>940.8</v>
      </c>
      <c r="L75" s="167"/>
      <c r="M75" s="208"/>
      <c r="N75" s="209"/>
      <c r="O75" s="213"/>
      <c r="P75" s="215">
        <v>8.5</v>
      </c>
      <c r="Q75" s="4"/>
      <c r="S75" s="4"/>
      <c r="T75" s="4"/>
      <c r="AML75" s="4"/>
    </row>
    <row r="76" spans="1:1026" ht="16.5" thickBot="1" x14ac:dyDescent="0.3">
      <c r="A76" s="125"/>
      <c r="B76" s="125"/>
      <c r="C76" s="125"/>
      <c r="D76" s="415"/>
      <c r="E76" s="126"/>
      <c r="F76" s="126"/>
      <c r="G76" s="126"/>
      <c r="H76" s="126"/>
      <c r="I76" s="127"/>
      <c r="J76" s="128"/>
      <c r="K76" s="127"/>
      <c r="L76" s="126"/>
      <c r="M76" s="136"/>
      <c r="N76" s="129"/>
      <c r="O76" s="134"/>
      <c r="P76" s="135"/>
      <c r="Q76" s="4"/>
      <c r="S76" s="4"/>
      <c r="T76" s="4"/>
      <c r="AMK76"/>
    </row>
    <row r="77" spans="1:1026" ht="16.5" thickBot="1" x14ac:dyDescent="0.3">
      <c r="A77" s="412" t="s">
        <v>79</v>
      </c>
      <c r="B77" s="413"/>
      <c r="C77" s="413"/>
      <c r="D77" s="417" t="s">
        <v>78</v>
      </c>
      <c r="E77" s="416"/>
      <c r="F77" s="164"/>
      <c r="G77" s="164"/>
      <c r="H77" s="164"/>
      <c r="I77" s="164"/>
      <c r="J77" s="165"/>
      <c r="K77" s="166" t="s">
        <v>17</v>
      </c>
      <c r="L77" s="188"/>
      <c r="M77" s="205"/>
      <c r="N77" s="166" t="s">
        <v>114</v>
      </c>
      <c r="O77" s="111"/>
      <c r="P77" s="111"/>
      <c r="Q77" s="4"/>
      <c r="S77" s="4"/>
      <c r="T77" s="4"/>
      <c r="AMK77"/>
    </row>
    <row r="78" spans="1:1026" ht="16.5" thickBot="1" x14ac:dyDescent="0.3">
      <c r="A78" s="427" t="s">
        <v>77</v>
      </c>
      <c r="B78" s="428"/>
      <c r="C78" s="429"/>
      <c r="D78" s="418"/>
      <c r="E78" s="210"/>
      <c r="F78" s="210"/>
      <c r="G78" s="210"/>
      <c r="H78" s="210"/>
      <c r="I78" s="383">
        <v>1</v>
      </c>
      <c r="J78" s="210"/>
      <c r="K78" s="270">
        <f>273.28*1.1</f>
        <v>300.608</v>
      </c>
      <c r="L78" s="208"/>
      <c r="M78" s="211"/>
      <c r="N78" s="381">
        <f>I78*K78</f>
        <v>300.608</v>
      </c>
      <c r="O78" s="111"/>
      <c r="P78" s="111"/>
      <c r="Q78" s="4"/>
      <c r="S78" s="4"/>
      <c r="T78" s="4"/>
      <c r="AMK78"/>
    </row>
    <row r="79" spans="1:1026" ht="15.75" x14ac:dyDescent="0.25">
      <c r="I79" s="73"/>
      <c r="K79" s="73"/>
      <c r="L79" s="73"/>
      <c r="M79" s="73"/>
      <c r="N79" s="78"/>
      <c r="Q79" s="4"/>
      <c r="S79" s="4"/>
      <c r="T79" s="4"/>
      <c r="V79" s="73"/>
      <c r="W79" s="78"/>
      <c r="AA79" s="111"/>
      <c r="AMK79"/>
    </row>
    <row r="80" spans="1:1026" ht="15.75" x14ac:dyDescent="0.25">
      <c r="I80" s="73"/>
      <c r="K80" s="73"/>
      <c r="L80" s="73"/>
      <c r="M80" s="73"/>
      <c r="N80" s="78"/>
      <c r="Q80" s="4"/>
      <c r="S80" s="4"/>
      <c r="T80" s="4"/>
      <c r="W80" s="78"/>
      <c r="AA80" s="111"/>
      <c r="AMK80"/>
    </row>
    <row r="81" spans="1:27 1025:1026" ht="15.75" x14ac:dyDescent="0.25">
      <c r="I81" s="73"/>
      <c r="K81" s="73"/>
      <c r="L81" s="73"/>
      <c r="M81" s="73"/>
      <c r="N81" s="78"/>
      <c r="P81" s="134"/>
      <c r="Q81" s="4"/>
      <c r="S81" s="4"/>
      <c r="T81" s="4"/>
      <c r="AA81" s="111"/>
      <c r="AMK81"/>
    </row>
    <row r="82" spans="1:27 1025:1026" ht="15.75" x14ac:dyDescent="0.25">
      <c r="I82" s="73"/>
      <c r="K82" s="73"/>
      <c r="L82" s="73"/>
      <c r="M82" s="73"/>
      <c r="N82" s="78"/>
      <c r="P82" s="134"/>
      <c r="Q82" s="4"/>
      <c r="S82" s="4"/>
      <c r="T82" s="4"/>
      <c r="AMK82"/>
    </row>
    <row r="83" spans="1:27 1025:1026" ht="15.75" x14ac:dyDescent="0.25">
      <c r="E83" s="114"/>
      <c r="I83" s="73"/>
      <c r="K83" s="73"/>
      <c r="L83" s="73"/>
      <c r="M83" s="73"/>
      <c r="N83" s="78"/>
      <c r="P83" s="111"/>
      <c r="Q83" s="111"/>
      <c r="S83" s="4"/>
      <c r="T83" s="4"/>
      <c r="AML83" s="4"/>
    </row>
    <row r="84" spans="1:27 1025:1026" ht="15.75" x14ac:dyDescent="0.25">
      <c r="A84" s="425"/>
      <c r="I84" s="73"/>
      <c r="K84" s="73"/>
      <c r="L84" s="73"/>
      <c r="M84" s="73"/>
      <c r="N84" s="78"/>
      <c r="P84" s="111"/>
      <c r="Q84" s="111"/>
      <c r="S84" s="4"/>
      <c r="T84" s="4"/>
      <c r="AML84" s="4"/>
    </row>
    <row r="85" spans="1:27 1025:1026" ht="15.75" x14ac:dyDescent="0.25">
      <c r="I85" s="73"/>
      <c r="J85" s="73"/>
      <c r="K85" s="219"/>
      <c r="L85" s="73"/>
      <c r="M85" s="111"/>
      <c r="N85" s="111"/>
      <c r="O85" s="111"/>
      <c r="P85" s="111"/>
      <c r="Q85" s="111"/>
      <c r="S85" s="4"/>
      <c r="T85" s="4"/>
      <c r="AML85" s="4"/>
    </row>
    <row r="86" spans="1:27 1025:1026" ht="15.75" x14ac:dyDescent="0.25">
      <c r="E86" s="424"/>
      <c r="I86" s="73"/>
      <c r="K86" s="73"/>
      <c r="L86" s="73"/>
      <c r="M86" s="111"/>
      <c r="N86" s="111"/>
      <c r="O86" s="111"/>
      <c r="P86" s="111"/>
      <c r="Q86" s="131"/>
      <c r="S86" s="4"/>
      <c r="T86" s="4"/>
      <c r="AML86" s="4"/>
    </row>
    <row r="87" spans="1:27 1025:1026" ht="15.75" x14ac:dyDescent="0.25">
      <c r="I87" s="73"/>
      <c r="K87" s="73"/>
      <c r="L87" s="73"/>
      <c r="M87" s="78"/>
      <c r="N87" s="73"/>
      <c r="O87" s="78"/>
      <c r="P87" s="111"/>
      <c r="Q87" s="111"/>
      <c r="S87" s="4"/>
      <c r="T87" s="4"/>
      <c r="AML87" s="4"/>
    </row>
    <row r="88" spans="1:27 1025:1026" ht="15.75" x14ac:dyDescent="0.25">
      <c r="I88" s="73"/>
      <c r="K88" s="73"/>
      <c r="L88" s="73"/>
      <c r="M88" s="73"/>
      <c r="N88" s="73"/>
      <c r="O88" s="78"/>
      <c r="P88" s="111"/>
      <c r="Q88" s="111"/>
      <c r="S88" s="4"/>
      <c r="T88" s="4"/>
      <c r="AML88" s="4"/>
    </row>
    <row r="89" spans="1:27 1025:1026" ht="15.75" x14ac:dyDescent="0.25">
      <c r="I89" s="73"/>
      <c r="K89" s="73"/>
      <c r="L89" s="73"/>
      <c r="M89" s="73"/>
      <c r="N89" s="73"/>
      <c r="O89" s="78"/>
      <c r="Q89" s="111"/>
      <c r="R89" s="134"/>
      <c r="S89" s="4"/>
      <c r="T89" s="4"/>
      <c r="AML89" s="4"/>
    </row>
    <row r="90" spans="1:27 1025:1026" ht="16.5" x14ac:dyDescent="0.3">
      <c r="I90" s="73"/>
      <c r="K90" s="73"/>
      <c r="L90" s="73"/>
      <c r="M90" s="73"/>
      <c r="N90" s="73"/>
      <c r="O90" s="108"/>
      <c r="Q90" s="111"/>
      <c r="R90" s="134"/>
      <c r="S90" s="4"/>
      <c r="T90" s="4"/>
      <c r="AML90" s="4"/>
    </row>
    <row r="91" spans="1:27 1025:1026" ht="15.75" x14ac:dyDescent="0.25">
      <c r="I91" s="73"/>
      <c r="K91" s="73"/>
      <c r="L91" s="73"/>
      <c r="M91" s="73"/>
      <c r="N91" s="73"/>
      <c r="O91" s="78"/>
      <c r="Q91" s="4"/>
      <c r="R91" s="134"/>
      <c r="S91" s="4"/>
      <c r="T91" s="4"/>
      <c r="AML91" s="4"/>
    </row>
    <row r="92" spans="1:27 1025:1026" ht="15.75" x14ac:dyDescent="0.25">
      <c r="I92" s="73"/>
      <c r="K92" s="73"/>
      <c r="L92" s="73"/>
      <c r="M92" s="73"/>
      <c r="N92" s="73"/>
      <c r="O92" s="78"/>
      <c r="Q92" s="4"/>
      <c r="R92" s="134"/>
      <c r="S92" s="4"/>
      <c r="T92" s="4"/>
      <c r="AML92" s="4"/>
    </row>
    <row r="93" spans="1:27 1025:1026" ht="15.75" x14ac:dyDescent="0.25">
      <c r="I93" s="73"/>
      <c r="K93" s="73"/>
      <c r="L93" s="73"/>
      <c r="M93" s="73"/>
      <c r="N93" s="73"/>
      <c r="O93" s="78"/>
      <c r="Q93" s="4"/>
      <c r="R93" s="134"/>
      <c r="S93" s="4"/>
      <c r="T93" s="4"/>
      <c r="AML93" s="4"/>
    </row>
    <row r="94" spans="1:27 1025:1026" ht="15.75" x14ac:dyDescent="0.25">
      <c r="I94" s="73"/>
      <c r="K94" s="73"/>
      <c r="L94" s="73"/>
      <c r="M94" s="73"/>
      <c r="N94" s="73"/>
      <c r="O94" s="78"/>
      <c r="Q94" s="4"/>
      <c r="S94" s="134"/>
      <c r="T94" s="4"/>
    </row>
    <row r="95" spans="1:27 1025:1026" ht="15.75" x14ac:dyDescent="0.25">
      <c r="I95" s="73"/>
      <c r="K95" s="73"/>
      <c r="L95" s="73"/>
      <c r="M95" s="73"/>
      <c r="N95" s="73"/>
      <c r="O95" s="78"/>
      <c r="Q95" s="4"/>
      <c r="S95" s="111"/>
      <c r="T95" s="4"/>
    </row>
    <row r="96" spans="1:27 1025:1026" ht="15.75" x14ac:dyDescent="0.25">
      <c r="I96" s="73"/>
      <c r="K96" s="73"/>
      <c r="L96" s="73"/>
      <c r="M96" s="73"/>
      <c r="N96" s="73"/>
      <c r="O96" s="78"/>
      <c r="Q96" s="4"/>
      <c r="S96" s="111"/>
      <c r="T96" s="4"/>
    </row>
    <row r="97" spans="1:20" ht="15.75" x14ac:dyDescent="0.25">
      <c r="I97" s="73"/>
      <c r="K97" s="73"/>
      <c r="L97" s="73"/>
      <c r="M97" s="73"/>
      <c r="N97" s="73"/>
      <c r="O97" s="78"/>
      <c r="Q97" s="4"/>
      <c r="S97" s="111"/>
      <c r="T97" s="4"/>
    </row>
    <row r="98" spans="1:20" ht="15.75" x14ac:dyDescent="0.25">
      <c r="S98" s="111"/>
      <c r="T98" s="4"/>
    </row>
    <row r="101" spans="1:20" x14ac:dyDescent="0.25">
      <c r="A101" s="98"/>
      <c r="E101" s="36"/>
      <c r="F101" s="36"/>
      <c r="G101" s="36"/>
    </row>
  </sheetData>
  <sheetProtection algorithmName="SHA-512" hashValue="GSXq/IrTvlKn5Alo9+x7nQ6fDX6FEqA8rRLcYy2jRsjel+ihXVA6gpgcfpvl3NbabXMWEpA+Q/QAXSRveXNavA==" saltValue="R6vKgbweIr8BUx2vXkbV1Q==" spinCount="100000" sheet="1" objects="1" scenarios="1"/>
  <mergeCells count="21">
    <mergeCell ref="D77:D78"/>
    <mergeCell ref="D74:D75"/>
    <mergeCell ref="D71:D72"/>
    <mergeCell ref="D68:D69"/>
    <mergeCell ref="P1:R1"/>
    <mergeCell ref="A69:C69"/>
    <mergeCell ref="A72:C72"/>
    <mergeCell ref="A75:C75"/>
    <mergeCell ref="J18:L18"/>
    <mergeCell ref="J12:L12"/>
    <mergeCell ref="M12:O12"/>
    <mergeCell ref="M2:O2"/>
    <mergeCell ref="J2:L2"/>
    <mergeCell ref="J5:K5"/>
    <mergeCell ref="J10:K10"/>
    <mergeCell ref="A78:C78"/>
    <mergeCell ref="A68:C68"/>
    <mergeCell ref="A71:C71"/>
    <mergeCell ref="A74:C74"/>
    <mergeCell ref="A77:C77"/>
    <mergeCell ref="A70:C70"/>
  </mergeCells>
  <conditionalFormatting sqref="B39:B44 B25:B31 G6:G19 E6:E19 G50:G64">
    <cfRule type="cellIs" dxfId="53" priority="415" stopIfTrue="1" operator="equal">
      <formula>0</formula>
    </cfRule>
  </conditionalFormatting>
  <conditionalFormatting sqref="D63:D64 B39:B44 B25:B31 D50:D61 B50:B64">
    <cfRule type="cellIs" dxfId="52" priority="414" stopIfTrue="1" operator="equal">
      <formula>0</formula>
    </cfRule>
  </conditionalFormatting>
  <conditionalFormatting sqref="B39:B44">
    <cfRule type="cellIs" dxfId="51" priority="315" operator="greaterThan">
      <formula>0</formula>
    </cfRule>
    <cfRule type="cellIs" dxfId="50" priority="416" stopIfTrue="1" operator="equal">
      <formula>0</formula>
    </cfRule>
  </conditionalFormatting>
  <conditionalFormatting sqref="D63:D64 D50:D61">
    <cfRule type="cellIs" dxfId="49" priority="411" stopIfTrue="1" operator="greaterThan">
      <formula>"1;$A$2"</formula>
    </cfRule>
  </conditionalFormatting>
  <conditionalFormatting sqref="D62">
    <cfRule type="cellIs" dxfId="48" priority="408" stopIfTrue="1" operator="equal">
      <formula>0</formula>
    </cfRule>
  </conditionalFormatting>
  <conditionalFormatting sqref="D62">
    <cfRule type="cellIs" dxfId="47" priority="409" stopIfTrue="1" operator="greaterThan">
      <formula>"1;$A$2"</formula>
    </cfRule>
  </conditionalFormatting>
  <conditionalFormatting sqref="B25:B31 B50:B64">
    <cfRule type="cellIs" dxfId="46" priority="372" stopIfTrue="1" operator="equal">
      <formula>0</formula>
    </cfRule>
  </conditionalFormatting>
  <conditionalFormatting sqref="B50:B64">
    <cfRule type="cellIs" dxfId="45" priority="316" operator="greaterThan">
      <formula>0</formula>
    </cfRule>
    <cfRule type="cellIs" dxfId="44" priority="343" stopIfTrue="1" operator="equal">
      <formula>0</formula>
    </cfRule>
  </conditionalFormatting>
  <conditionalFormatting sqref="B25:B31 B6:B19">
    <cfRule type="cellIs" dxfId="43" priority="314" operator="greaterThan">
      <formula>0</formula>
    </cfRule>
  </conditionalFormatting>
  <conditionalFormatting sqref="A27:A30">
    <cfRule type="expression" dxfId="42" priority="432">
      <formula>#REF!=0</formula>
    </cfRule>
  </conditionalFormatting>
  <conditionalFormatting sqref="E38 E40:E42">
    <cfRule type="cellIs" dxfId="41" priority="266" operator="equal">
      <formula>0</formula>
    </cfRule>
  </conditionalFormatting>
  <conditionalFormatting sqref="A51">
    <cfRule type="expression" dxfId="40" priority="255">
      <formula>$B$51=0</formula>
    </cfRule>
  </conditionalFormatting>
  <conditionalFormatting sqref="A52">
    <cfRule type="expression" dxfId="39" priority="253">
      <formula>$B$52=0</formula>
    </cfRule>
  </conditionalFormatting>
  <conditionalFormatting sqref="A54">
    <cfRule type="expression" dxfId="38" priority="251">
      <formula>$B$54=0</formula>
    </cfRule>
  </conditionalFormatting>
  <conditionalFormatting sqref="A55">
    <cfRule type="expression" dxfId="37" priority="250">
      <formula>$B$55=0</formula>
    </cfRule>
  </conditionalFormatting>
  <conditionalFormatting sqref="A53">
    <cfRule type="expression" dxfId="36" priority="249">
      <formula>$B$53=0</formula>
    </cfRule>
  </conditionalFormatting>
  <conditionalFormatting sqref="A56">
    <cfRule type="expression" dxfId="35" priority="248">
      <formula>$B$56=0</formula>
    </cfRule>
  </conditionalFormatting>
  <conditionalFormatting sqref="A57">
    <cfRule type="expression" dxfId="34" priority="247">
      <formula>$B$57=0</formula>
    </cfRule>
  </conditionalFormatting>
  <conditionalFormatting sqref="A58">
    <cfRule type="expression" dxfId="33" priority="246">
      <formula>$B$58=0</formula>
    </cfRule>
  </conditionalFormatting>
  <conditionalFormatting sqref="A59">
    <cfRule type="expression" dxfId="32" priority="245">
      <formula>$B$59=0</formula>
    </cfRule>
  </conditionalFormatting>
  <conditionalFormatting sqref="A60">
    <cfRule type="expression" dxfId="31" priority="244">
      <formula>$B$60=0</formula>
    </cfRule>
  </conditionalFormatting>
  <conditionalFormatting sqref="A61">
    <cfRule type="expression" dxfId="30" priority="243">
      <formula>$B$61=0</formula>
    </cfRule>
  </conditionalFormatting>
  <conditionalFormatting sqref="A62">
    <cfRule type="expression" dxfId="29" priority="242">
      <formula>$B$62=0</formula>
    </cfRule>
  </conditionalFormatting>
  <conditionalFormatting sqref="A63">
    <cfRule type="expression" dxfId="28" priority="241">
      <formula>$B$63=0</formula>
    </cfRule>
  </conditionalFormatting>
  <conditionalFormatting sqref="A64">
    <cfRule type="expression" dxfId="27" priority="240">
      <formula>$B$64=0</formula>
    </cfRule>
  </conditionalFormatting>
  <conditionalFormatting sqref="N17">
    <cfRule type="expression" dxfId="26" priority="218">
      <formula>$O$17&lt;1</formula>
    </cfRule>
  </conditionalFormatting>
  <conditionalFormatting sqref="B3">
    <cfRule type="expression" dxfId="25" priority="435">
      <formula>$H$3&gt;0</formula>
    </cfRule>
  </conditionalFormatting>
  <conditionalFormatting sqref="A40:A45">
    <cfRule type="expression" dxfId="24" priority="200">
      <formula>#REF!=0</formula>
    </cfRule>
  </conditionalFormatting>
  <conditionalFormatting sqref="A31">
    <cfRule type="expression" dxfId="23" priority="159">
      <formula>$B$38=0</formula>
    </cfRule>
  </conditionalFormatting>
  <conditionalFormatting sqref="A5">
    <cfRule type="expression" dxfId="22" priority="158">
      <formula>$B$38=0</formula>
    </cfRule>
  </conditionalFormatting>
  <conditionalFormatting sqref="A26">
    <cfRule type="expression" dxfId="21" priority="125">
      <formula>$B$38=0</formula>
    </cfRule>
  </conditionalFormatting>
  <conditionalFormatting sqref="I5">
    <cfRule type="containsText" dxfId="20" priority="100" operator="containsText" text="Quality $I$1?">
      <formula>NOT(ISERROR(SEARCH("Quality $I$1?",I5)))</formula>
    </cfRule>
  </conditionalFormatting>
  <conditionalFormatting sqref="A69">
    <cfRule type="expression" dxfId="19" priority="445">
      <formula>J1048541=1</formula>
    </cfRule>
  </conditionalFormatting>
  <conditionalFormatting sqref="E39">
    <cfRule type="cellIs" dxfId="18" priority="45" operator="equal">
      <formula>0</formula>
    </cfRule>
  </conditionalFormatting>
  <conditionalFormatting sqref="H7">
    <cfRule type="cellIs" dxfId="17" priority="40" operator="greaterThan">
      <formula>0</formula>
    </cfRule>
  </conditionalFormatting>
  <conditionalFormatting sqref="H5">
    <cfRule type="cellIs" dxfId="16" priority="39" operator="greaterThan">
      <formula>0</formula>
    </cfRule>
  </conditionalFormatting>
  <conditionalFormatting sqref="H3">
    <cfRule type="cellIs" dxfId="15" priority="38" operator="greaterThan">
      <formula>0</formula>
    </cfRule>
  </conditionalFormatting>
  <conditionalFormatting sqref="H9">
    <cfRule type="cellIs" dxfId="14" priority="30" operator="greaterThan">
      <formula>0</formula>
    </cfRule>
  </conditionalFormatting>
  <conditionalFormatting sqref="C38">
    <cfRule type="cellIs" dxfId="13" priority="26" operator="greaterThan">
      <formula>5</formula>
    </cfRule>
  </conditionalFormatting>
  <conditionalFormatting sqref="C22">
    <cfRule type="cellIs" dxfId="12" priority="22" operator="equal">
      <formula>"Overload!"</formula>
    </cfRule>
  </conditionalFormatting>
  <conditionalFormatting sqref="B22">
    <cfRule type="cellIs" dxfId="11" priority="21" operator="equal">
      <formula>"Overload!"</formula>
    </cfRule>
  </conditionalFormatting>
  <conditionalFormatting sqref="H12">
    <cfRule type="containsText" dxfId="10" priority="20" operator="containsText" text="Quality $I$1?">
      <formula>NOT(ISERROR(SEARCH("Quality $I$1?",H12)))</formula>
    </cfRule>
  </conditionalFormatting>
  <conditionalFormatting sqref="H11">
    <cfRule type="cellIs" dxfId="9" priority="17" operator="greaterThan">
      <formula>0</formula>
    </cfRule>
  </conditionalFormatting>
  <conditionalFormatting sqref="A72">
    <cfRule type="expression" dxfId="8" priority="16">
      <formula>J1048544=1</formula>
    </cfRule>
  </conditionalFormatting>
  <conditionalFormatting sqref="A75">
    <cfRule type="expression" dxfId="7" priority="15">
      <formula>J1048547=1</formula>
    </cfRule>
  </conditionalFormatting>
  <conditionalFormatting sqref="A78">
    <cfRule type="expression" dxfId="6" priority="14">
      <formula>J1048550=1</formula>
    </cfRule>
  </conditionalFormatting>
  <conditionalFormatting sqref="L7:L8">
    <cfRule type="cellIs" dxfId="5" priority="8" operator="equal">
      <formula>"SERIEL"</formula>
    </cfRule>
  </conditionalFormatting>
  <conditionalFormatting sqref="J7">
    <cfRule type="cellIs" dxfId="4" priority="7" operator="equal">
      <formula>"seriel=1"</formula>
    </cfRule>
  </conditionalFormatting>
  <conditionalFormatting sqref="P2:Q3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{0C8EEBC9-7121-4EE0-A3F9-F7359E2DED48}</x14:id>
        </ext>
      </extLst>
    </cfRule>
  </conditionalFormatting>
  <conditionalFormatting sqref="L8">
    <cfRule type="cellIs" dxfId="3" priority="5" operator="equal">
      <formula>"PARALLEL"</formula>
    </cfRule>
  </conditionalFormatting>
  <conditionalFormatting sqref="J8:K8">
    <cfRule type="cellIs" dxfId="2" priority="2" operator="equal">
      <formula>"SERIEL"</formula>
    </cfRule>
  </conditionalFormatting>
  <conditionalFormatting sqref="J8:K8">
    <cfRule type="cellIs" dxfId="1" priority="1" operator="equal">
      <formula>"PARALLEL"</formula>
    </cfRule>
  </conditionalFormatting>
  <conditionalFormatting sqref="A50">
    <cfRule type="expression" dxfId="0" priority="460">
      <formula>#REF!=0</formula>
    </cfRule>
  </conditionalFormatting>
  <dataValidations disablePrompts="1" count="3">
    <dataValidation type="list" allowBlank="1" showInputMessage="1" showErrorMessage="1" sqref="U4:U5" xr:uid="{7E0A9054-D0CD-4410-88D1-077F9DEC6867}">
      <formula1>#REF!</formula1>
    </dataValidation>
    <dataValidation type="list" allowBlank="1" showInputMessage="1" showErrorMessage="1" sqref="M2:O2 P4:Q4 P2:R3 K7" xr:uid="{EF10615C-19F1-46CA-A330-1305081B9807}">
      <formula1>$P$2:$P$3</formula1>
    </dataValidation>
    <dataValidation type="list" allowBlank="1" showInputMessage="1" showErrorMessage="1" sqref="K9" xr:uid="{C7C898FE-7AB2-436A-BA66-51EDC2BB9BEE}">
      <formula1>$R$2:$R$3</formula1>
    </dataValidation>
  </dataValidations>
  <hyperlinks>
    <hyperlink ref="D68" r:id="rId1" display="europe-solar" xr:uid="{90591EC3-A0FB-4DFF-870D-CD4C1B78F3CD}"/>
    <hyperlink ref="D74" r:id="rId2" xr:uid="{45E4B0A6-47FF-4FE9-8A37-1AA5081FD8CB}"/>
    <hyperlink ref="D77" r:id="rId3" xr:uid="{E87DAEA6-AB24-4B9B-A818-878D2B44AD09}"/>
    <hyperlink ref="D71" r:id="rId4" xr:uid="{139C56AC-D127-4945-B38A-0F6F001AC9D2}"/>
  </hyperlinks>
  <pageMargins left="0.70000000000000007" right="0.70000000000000007" top="1.1811023622047245" bottom="1.1811023622047245" header="0.78740157480314954" footer="0.78740157480314954"/>
  <pageSetup paperSize="9" scale="10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SmartDraw.2" shapeId="9339" r:id="rId8">
          <objectPr defaultSize="0" autoPict="0" r:id="rId9">
            <anchor moveWithCells="1">
              <from>
                <xdr:col>12</xdr:col>
                <xdr:colOff>323850</xdr:colOff>
                <xdr:row>46</xdr:row>
                <xdr:rowOff>76200</xdr:rowOff>
              </from>
              <to>
                <xdr:col>20</xdr:col>
                <xdr:colOff>114300</xdr:colOff>
                <xdr:row>60</xdr:row>
                <xdr:rowOff>57150</xdr:rowOff>
              </to>
            </anchor>
          </objectPr>
        </oleObject>
      </mc:Choice>
      <mc:Fallback>
        <oleObject progId="SmartDraw.2" shapeId="9339" r:id="rId8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8EEBC9-7121-4EE0-A3F9-F7359E2DED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P2:Q3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 Sauter</dc:creator>
  <cp:lastModifiedBy>41765</cp:lastModifiedBy>
  <cp:lastPrinted>2020-03-28T11:21:24Z</cp:lastPrinted>
  <dcterms:created xsi:type="dcterms:W3CDTF">2017-05-13T07:45:47Z</dcterms:created>
  <dcterms:modified xsi:type="dcterms:W3CDTF">2021-11-21T08:22:05Z</dcterms:modified>
</cp:coreProperties>
</file>