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41765\Dropbox\www\Technical\"/>
    </mc:Choice>
  </mc:AlternateContent>
  <xr:revisionPtr revIDLastSave="0" documentId="8_{26478F0B-E048-4146-9F93-AD05CCD288B8}" xr6:coauthVersionLast="45" xr6:coauthVersionMax="45" xr10:uidLastSave="{00000000-0000-0000-0000-000000000000}"/>
  <bookViews>
    <workbookView xWindow="28725" yWindow="150" windowWidth="28800" windowHeight="15540" xr2:uid="{00000000-000D-0000-FFFF-FFFF00000000}"/>
  </bookViews>
  <sheets>
    <sheet name="UPS" sheetId="8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L17" i="8" l="1"/>
  <c r="S82" i="8" l="1"/>
  <c r="F3" i="8" l="1"/>
  <c r="O15" i="8"/>
  <c r="E4" i="8"/>
  <c r="H6" i="8"/>
  <c r="T66" i="8" l="1"/>
  <c r="T62" i="8" l="1"/>
  <c r="T59" i="8" l="1"/>
  <c r="T60" i="8"/>
  <c r="O66" i="8" l="1"/>
  <c r="K13" i="8" l="1"/>
  <c r="M15" i="8" l="1"/>
  <c r="N77" i="8" l="1"/>
  <c r="G25" i="8" l="1"/>
  <c r="E25" i="8"/>
  <c r="L13" i="8"/>
  <c r="B3" i="8"/>
  <c r="J3" i="8"/>
  <c r="O67" i="8"/>
  <c r="Z67" i="8"/>
  <c r="Z65" i="8"/>
  <c r="Z66" i="8"/>
  <c r="H2" i="8" l="1"/>
  <c r="F38" i="8" l="1"/>
  <c r="T61" i="8" l="1"/>
  <c r="R78" i="8"/>
  <c r="X59" i="8" l="1"/>
  <c r="O68" i="8" l="1"/>
  <c r="Z68" i="8" l="1"/>
  <c r="T73" i="8" l="1"/>
  <c r="D6" i="8"/>
  <c r="D12" i="8"/>
  <c r="H8" i="8" l="1"/>
  <c r="H4" i="8"/>
  <c r="T74" i="8" l="1"/>
  <c r="E24" i="8" l="1"/>
  <c r="I5" i="8" l="1"/>
  <c r="T82" i="8"/>
  <c r="S79" i="8" l="1"/>
  <c r="T79" i="8" s="1"/>
  <c r="A38" i="8" l="1"/>
  <c r="T80" i="8"/>
  <c r="S81" i="8"/>
  <c r="T81" i="8" s="1"/>
  <c r="J7" i="8"/>
  <c r="Z59" i="8" l="1"/>
  <c r="Z60" i="8"/>
  <c r="Z61" i="8"/>
  <c r="Z62" i="8"/>
  <c r="Z58" i="8"/>
  <c r="S78" i="8"/>
  <c r="T78" i="8" s="1"/>
  <c r="T77" i="8" s="1"/>
  <c r="F24" i="8" l="1"/>
  <c r="J5" i="8"/>
  <c r="A24" i="8" s="1"/>
  <c r="A5" i="8" s="1"/>
  <c r="M11" i="8"/>
  <c r="A25" i="8" l="1"/>
  <c r="A4" i="8"/>
  <c r="J15" i="8" l="1"/>
  <c r="M16" i="8"/>
  <c r="D37" i="8"/>
  <c r="B37" i="8" s="1"/>
  <c r="J23" i="8" s="1"/>
  <c r="E37" i="8"/>
  <c r="L15" i="8" l="1"/>
  <c r="J13" i="8" s="1"/>
  <c r="C3" i="8" s="1"/>
  <c r="B38" i="8"/>
  <c r="M13" i="8" l="1"/>
  <c r="G3" i="8"/>
  <c r="M17" i="8"/>
  <c r="X61" i="8"/>
  <c r="X58" i="8"/>
  <c r="X60" i="8"/>
  <c r="B25" i="8" l="1"/>
  <c r="K23" i="8" l="1"/>
  <c r="O28" i="8"/>
  <c r="A37" i="8"/>
  <c r="L28" i="8"/>
  <c r="K28" i="8"/>
  <c r="J28" i="8"/>
  <c r="M25" i="8"/>
  <c r="M26" i="8" s="1"/>
  <c r="L25" i="8"/>
  <c r="L26" i="8" s="1"/>
  <c r="M21" i="8" l="1"/>
  <c r="A33" i="8"/>
  <c r="I37" i="8"/>
  <c r="X62" i="8"/>
  <c r="O23" i="8"/>
  <c r="H37" i="8"/>
  <c r="C26" i="8" l="1"/>
  <c r="C27" i="8"/>
  <c r="C29" i="8"/>
  <c r="D40" i="8" l="1"/>
  <c r="B39" i="8"/>
  <c r="B42" i="8"/>
  <c r="B43" i="8"/>
  <c r="F40" i="8" l="1"/>
  <c r="L23" i="8" l="1"/>
  <c r="G51" i="8"/>
  <c r="Q19" i="8" l="1"/>
  <c r="F19" i="8" l="1"/>
  <c r="F41" i="8" l="1"/>
  <c r="I41" i="8"/>
  <c r="I42" i="8"/>
  <c r="I43" i="8"/>
  <c r="B54" i="8"/>
  <c r="B55" i="8"/>
  <c r="B56" i="8"/>
  <c r="B57" i="8"/>
  <c r="B58" i="8"/>
  <c r="B59" i="8"/>
  <c r="B61" i="8"/>
  <c r="B62" i="8"/>
  <c r="B63" i="8"/>
  <c r="B64" i="8"/>
  <c r="B65" i="8"/>
  <c r="G64" i="8" s="1"/>
  <c r="O14" i="8" l="1"/>
  <c r="I38" i="8" l="1"/>
  <c r="I39" i="8"/>
  <c r="E42" i="8" l="1"/>
  <c r="E7" i="8" l="1"/>
  <c r="E8" i="8"/>
  <c r="E9" i="8"/>
  <c r="E10" i="8"/>
  <c r="E11" i="8"/>
  <c r="E13" i="8"/>
  <c r="E14" i="8"/>
  <c r="E15" i="8"/>
  <c r="E16" i="8"/>
  <c r="E17" i="8"/>
  <c r="E18" i="8"/>
  <c r="E12" i="8" l="1"/>
  <c r="F43" i="8" l="1"/>
  <c r="F42" i="8"/>
  <c r="F39" i="8"/>
  <c r="G65" i="8"/>
  <c r="G63" i="8"/>
  <c r="G62" i="8"/>
  <c r="G61" i="8"/>
  <c r="G60" i="8"/>
  <c r="G59" i="8"/>
  <c r="G58" i="8"/>
  <c r="G57" i="8"/>
  <c r="G56" i="8"/>
  <c r="G55" i="8"/>
  <c r="G54" i="8"/>
  <c r="G53" i="8"/>
  <c r="G52" i="8"/>
  <c r="G50" i="8"/>
  <c r="H30" i="8"/>
  <c r="F30" i="8"/>
  <c r="H29" i="8"/>
  <c r="F29" i="8"/>
  <c r="H28" i="8"/>
  <c r="F28" i="8"/>
  <c r="H27" i="8"/>
  <c r="F27" i="8"/>
  <c r="H26" i="8"/>
  <c r="F26" i="8"/>
  <c r="G17" i="8"/>
  <c r="G10" i="8"/>
  <c r="G66" i="8" l="1"/>
  <c r="G8" i="8"/>
  <c r="G16" i="8"/>
  <c r="G15" i="8" l="1"/>
  <c r="G18" i="8"/>
  <c r="G7" i="8"/>
  <c r="G14" i="8" l="1"/>
  <c r="G11" i="8" l="1"/>
  <c r="G13" i="8"/>
  <c r="G12" i="8"/>
  <c r="G9" i="8" l="1"/>
  <c r="H24" i="8" l="1"/>
  <c r="O18" i="8" l="1"/>
  <c r="F37" i="8" l="1"/>
  <c r="B45" i="8" l="1"/>
  <c r="L18" i="8" l="1"/>
  <c r="H25" i="8" l="1"/>
  <c r="H31" i="8" s="1"/>
  <c r="F25" i="8"/>
  <c r="K25" i="8"/>
  <c r="F31" i="8" l="1"/>
  <c r="B4" i="8" s="1"/>
  <c r="E6" i="8"/>
  <c r="I45" i="8"/>
  <c r="F45" i="8" l="1"/>
  <c r="E19" i="8"/>
  <c r="G6" i="8"/>
  <c r="F47" i="8" l="1"/>
  <c r="C4" i="8"/>
  <c r="D4" i="8" s="1"/>
  <c r="G19" i="8"/>
  <c r="F21" i="8" l="1"/>
  <c r="E21" i="8" s="1"/>
  <c r="D3" i="8" s="1"/>
  <c r="E3" i="8" s="1"/>
  <c r="E66" i="8" l="1"/>
  <c r="M23" i="8"/>
  <c r="L16" i="8"/>
  <c r="H16" i="8"/>
  <c r="C3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41765</author>
    <author>Ks</author>
    <author>Karl Sauter</author>
  </authors>
  <commentList>
    <comment ref="H3" authorId="0" shapeId="0" xr:uid="{0638D3B7-AF93-430F-984D-3D2FBCFFA055}">
      <text>
        <r>
          <rPr>
            <b/>
            <sz val="9"/>
            <color indexed="81"/>
            <rFont val="Segoe UI"/>
            <family val="2"/>
          </rPr>
          <t xml:space="preserve">
Default  ="0"</t>
        </r>
        <r>
          <rPr>
            <sz val="9"/>
            <color indexed="81"/>
            <rFont val="Segoe UI"/>
            <family val="2"/>
          </rPr>
          <t xml:space="preserve">
else nos / value required</t>
        </r>
      </text>
    </comment>
    <comment ref="B4" authorId="0" shapeId="0" xr:uid="{15056C7E-7755-41AC-9E0A-51D7E8F139BF}">
      <text>
        <r>
          <rPr>
            <b/>
            <sz val="12"/>
            <color indexed="81"/>
            <rFont val="Segoe UI"/>
            <family val="2"/>
          </rPr>
          <t>price Phase I</t>
        </r>
      </text>
    </comment>
    <comment ref="C4" authorId="0" shapeId="0" xr:uid="{DA0ABD25-E4AF-4538-BF26-A38DD088A805}">
      <text>
        <r>
          <rPr>
            <b/>
            <sz val="12"/>
            <color indexed="81"/>
            <rFont val="Segoe UI"/>
            <family val="2"/>
          </rPr>
          <t>price Phase II</t>
        </r>
      </text>
    </comment>
    <comment ref="D4" authorId="0" shapeId="0" xr:uid="{4DC5724C-08C1-4351-81B0-17B5C563481B}">
      <text>
        <r>
          <rPr>
            <b/>
            <sz val="11"/>
            <color indexed="81"/>
            <rFont val="Segoe UI"/>
            <family val="2"/>
          </rPr>
          <t>Total Cost I &amp; II</t>
        </r>
      </text>
    </comment>
    <comment ref="F4" authorId="0" shapeId="0" xr:uid="{E7E2A941-20C5-436D-AE0F-4653E99F7951}">
      <text>
        <r>
          <rPr>
            <sz val="9"/>
            <color indexed="81"/>
            <rFont val="Segoe UI"/>
            <family val="2"/>
          </rPr>
          <t xml:space="preserve">= % power utilization
        at the time
</t>
        </r>
      </text>
    </comment>
    <comment ref="L12" authorId="1" shapeId="0" xr:uid="{1E90FB01-E234-4948-958F-51D9DD4D4BF3}">
      <text>
        <r>
          <rPr>
            <b/>
            <sz val="9"/>
            <color rgb="FF000000"/>
            <rFont val="Arial"/>
            <family val="2"/>
          </rPr>
          <t>V
Battery</t>
        </r>
      </text>
    </comment>
    <comment ref="M12" authorId="1" shapeId="0" xr:uid="{F1FF4171-16F7-41FA-8D3F-9B25926E18BA}">
      <text>
        <r>
          <rPr>
            <sz val="9"/>
            <color rgb="FF000000"/>
            <rFont val="Arial"/>
            <family val="2"/>
          </rPr>
          <t xml:space="preserve">V
of the </t>
        </r>
        <r>
          <rPr>
            <u/>
            <sz val="9"/>
            <color rgb="FF000000"/>
            <rFont val="Arial"/>
            <family val="2"/>
          </rPr>
          <t>batterie bank</t>
        </r>
        <r>
          <rPr>
            <u/>
            <sz val="9"/>
            <color rgb="FF000000"/>
            <rFont val="Arial"/>
            <family val="2"/>
          </rPr>
          <t xml:space="preserve">
</t>
        </r>
      </text>
    </comment>
    <comment ref="N12" authorId="1" shapeId="0" xr:uid="{D4EE2329-F46D-47B9-8F02-D38EB1A8E10B}">
      <text>
        <r>
          <rPr>
            <sz val="9"/>
            <color rgb="FF000000"/>
            <rFont val="Arial"/>
            <family val="2"/>
          </rPr>
          <t>=</t>
        </r>
        <r>
          <rPr>
            <b/>
            <sz val="9"/>
            <color rgb="FF000000"/>
            <rFont val="Arial"/>
            <family val="2"/>
          </rPr>
          <t xml:space="preserve"> V of cells or batteries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    in serie, row 1</t>
        </r>
      </text>
    </comment>
    <comment ref="O12" authorId="1" shapeId="0" xr:uid="{A52EB238-5BC9-4954-A24B-AADA243B3579}">
      <text>
        <r>
          <rPr>
            <b/>
            <sz val="9"/>
            <color rgb="FF000000"/>
            <rFont val="Arial"/>
            <family val="2"/>
          </rPr>
          <t xml:space="preserve">Cells/Battery
</t>
        </r>
      </text>
    </comment>
    <comment ref="J13" authorId="2" shapeId="0" xr:uid="{D44DFE09-7AD3-4896-9752-AFAC4BEDB102}">
      <text>
        <r>
          <rPr>
            <b/>
            <sz val="9"/>
            <color indexed="81"/>
            <rFont val="Segoe UI"/>
            <family val="2"/>
          </rPr>
          <t>required
Battery capacity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1" shapeId="0" xr:uid="{32D1B821-B6C5-4A9F-AB90-9B65F66F2B34}">
      <text>
        <r>
          <rPr>
            <b/>
            <sz val="9"/>
            <color rgb="FF000000"/>
            <rFont val="Arial"/>
            <family val="2"/>
          </rPr>
          <t xml:space="preserve">Battery
</t>
        </r>
      </text>
    </comment>
    <comment ref="O13" authorId="1" shapeId="0" xr:uid="{5901F682-E5A1-4C59-B871-2005E52FB99C}">
      <text>
        <r>
          <rPr>
            <b/>
            <sz val="9"/>
            <color rgb="FF000000"/>
            <rFont val="Arial"/>
            <family val="2"/>
          </rPr>
          <t>Total cells in b`bank</t>
        </r>
      </text>
    </comment>
    <comment ref="L15" authorId="0" shapeId="0" xr:uid="{F7C3472F-9498-4D44-AB5E-BC4313F51D48}">
      <text>
        <r>
          <rPr>
            <b/>
            <sz val="9"/>
            <color indexed="81"/>
            <rFont val="Segoe UI"/>
            <family val="2"/>
          </rPr>
          <t>Volt System</t>
        </r>
      </text>
    </comment>
    <comment ref="H16" authorId="0" shapeId="0" xr:uid="{0CCD1E73-D199-44DD-B31F-CC319451CDF7}">
      <text>
        <r>
          <rPr>
            <sz val="9"/>
            <color indexed="81"/>
            <rFont val="Segoe UI"/>
            <family val="2"/>
          </rPr>
          <t xml:space="preserve">Check whether the Batterie connections </t>
        </r>
        <r>
          <rPr>
            <b/>
            <sz val="9"/>
            <color indexed="81"/>
            <rFont val="Segoe UI"/>
            <family val="2"/>
          </rPr>
          <t xml:space="preserve">parallel or serial </t>
        </r>
        <r>
          <rPr>
            <sz val="9"/>
            <color indexed="81"/>
            <rFont val="Segoe UI"/>
            <family val="2"/>
          </rPr>
          <t xml:space="preserve">are OK.
Check </t>
        </r>
        <r>
          <rPr>
            <b/>
            <sz val="9"/>
            <color indexed="81"/>
            <rFont val="Segoe UI"/>
            <family val="2"/>
          </rPr>
          <t xml:space="preserve">Nos of Strings  
</t>
        </r>
        <r>
          <rPr>
            <sz val="9"/>
            <color indexed="81"/>
            <rFont val="Segoe UI"/>
            <family val="2"/>
          </rPr>
          <t>Small banks 2 or 4 batteries  (</t>
        </r>
        <r>
          <rPr>
            <b/>
            <sz val="9"/>
            <color indexed="81"/>
            <rFont val="Segoe UI"/>
            <family val="2"/>
          </rPr>
          <t>1</t>
        </r>
        <r>
          <rPr>
            <sz val="9"/>
            <color indexed="81"/>
            <rFont val="Segoe UI"/>
            <family val="2"/>
          </rPr>
          <t xml:space="preserve">x2 or </t>
        </r>
        <r>
          <rPr>
            <b/>
            <sz val="9"/>
            <color indexed="81"/>
            <rFont val="Segoe UI"/>
            <family val="2"/>
          </rPr>
          <t>2</t>
        </r>
        <r>
          <rPr>
            <sz val="9"/>
            <color indexed="81"/>
            <rFont val="Segoe UI"/>
            <family val="2"/>
          </rPr>
          <t>x2) 
also bigger battery banks are possible!</t>
        </r>
      </text>
    </comment>
    <comment ref="K16" authorId="1" shapeId="0" xr:uid="{B8F59253-4339-4793-8812-C80EABB85CF9}">
      <text>
        <r>
          <rPr>
            <b/>
            <sz val="9"/>
            <color rgb="FF000000"/>
            <rFont val="Arial"/>
            <family val="2"/>
          </rPr>
          <t xml:space="preserve">1 = seriel
0= parallel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K17" authorId="1" shapeId="0" xr:uid="{C4E52278-20D9-4B65-BE5F-32A971101114}">
      <text>
        <r>
          <rPr>
            <b/>
            <sz val="9"/>
            <color rgb="FF000000"/>
            <rFont val="Arial"/>
            <family val="2"/>
          </rPr>
          <t xml:space="preserve">1 = seriel
0= parallel
</t>
        </r>
      </text>
    </comment>
    <comment ref="O17" authorId="1" shapeId="0" xr:uid="{C3C9D6D0-8BBE-4B58-9DE0-6D485889D5AA}">
      <text>
        <r>
          <rPr>
            <b/>
            <sz val="9"/>
            <color rgb="FF000000"/>
            <rFont val="Arial"/>
            <family val="2"/>
          </rPr>
          <t>hrs.
autonomie</t>
        </r>
      </text>
    </comment>
    <comment ref="L18" authorId="0" shapeId="0" xr:uid="{1A9AA64E-96F7-4EAF-BC8E-60B68F8B4FB5}">
      <text>
        <r>
          <rPr>
            <b/>
            <sz val="9"/>
            <color indexed="81"/>
            <rFont val="Segoe UI"/>
            <family val="2"/>
          </rPr>
          <t>Batteries / String</t>
        </r>
      </text>
    </comment>
    <comment ref="N18" authorId="0" shapeId="0" xr:uid="{66209811-8D98-4D97-8570-33B06D75DCF6}">
      <text>
        <r>
          <rPr>
            <b/>
            <sz val="9"/>
            <color indexed="81"/>
            <rFont val="Segoe UI"/>
            <family val="2"/>
          </rPr>
          <t>% of Appliances are working simultanous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0" shapeId="0" xr:uid="{DA7B88F1-4315-47E9-AA10-D4B34FA350CE}">
      <text>
        <r>
          <rPr>
            <b/>
            <sz val="9"/>
            <color indexed="81"/>
            <rFont val="Segoe UI"/>
            <family val="2"/>
          </rPr>
          <t xml:space="preserve">average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9" authorId="2" shapeId="0" xr:uid="{1CA8BEF4-253C-48C9-9AB2-243A320BD533}">
      <text>
        <r>
          <rPr>
            <b/>
            <sz val="9"/>
            <color indexed="81"/>
            <rFont val="Segoe UI"/>
            <family val="2"/>
          </rPr>
          <t>cabel cross section
mm2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1" shapeId="0" xr:uid="{00000000-0006-0000-0000-000002000000}">
      <text>
        <r>
          <rPr>
            <b/>
            <sz val="9"/>
            <color rgb="FF000000"/>
            <rFont val="Arial"/>
            <family val="2"/>
          </rPr>
          <t xml:space="preserve">at 40°C
</t>
        </r>
      </text>
    </comment>
    <comment ref="G20" authorId="0" shapeId="0" xr:uid="{E54D6D26-58AF-4B88-AB54-2B7CD5A37077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2"/>
            <color indexed="81"/>
            <rFont val="Segoe UI"/>
            <family val="2"/>
          </rPr>
          <t>+</t>
        </r>
        <r>
          <rPr>
            <b/>
            <sz val="9"/>
            <color indexed="81"/>
            <rFont val="Segoe UI"/>
            <family val="2"/>
          </rPr>
          <t xml:space="preserve"> Aux Eqipment:
</t>
        </r>
        <r>
          <rPr>
            <sz val="9"/>
            <color indexed="81"/>
            <rFont val="Segoe UI"/>
            <family val="2"/>
          </rPr>
          <t>1 DAB Active Pump
1 Fridge
1 Freezer
(see below)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21" authorId="2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total W needed </t>
        </r>
      </text>
    </comment>
    <comment ref="F21" authorId="1" shapeId="0" xr:uid="{00000000-0006-0000-0000-000004000000}">
      <text>
        <r>
          <rPr>
            <b/>
            <sz val="9"/>
            <color rgb="FF000000"/>
            <rFont val="Arial"/>
            <family val="2"/>
          </rPr>
          <t>W required</t>
        </r>
      </text>
    </comment>
    <comment ref="K23" authorId="1" shapeId="0" xr:uid="{00000000-0006-0000-0000-00001C000000}">
      <text>
        <r>
          <rPr>
            <b/>
            <sz val="9"/>
            <color rgb="FF000000"/>
            <rFont val="Arial"/>
            <family val="2"/>
          </rPr>
          <t>Panel</t>
        </r>
      </text>
    </comment>
    <comment ref="D24" authorId="1" shapeId="0" xr:uid="{00000000-0006-0000-0000-00000B000000}">
      <text>
        <r>
          <rPr>
            <sz val="9"/>
            <color rgb="FF000000"/>
            <rFont val="Arial"/>
            <family val="2"/>
          </rPr>
          <t>Units calc.
1.0 = 100%</t>
        </r>
      </text>
    </comment>
    <comment ref="T60" authorId="0" shapeId="0" xr:uid="{489B8CFB-CFEE-497F-86CB-695A7DAAC1EE}">
      <text>
        <r>
          <rPr>
            <b/>
            <sz val="9"/>
            <color indexed="81"/>
            <rFont val="Segoe UI"/>
            <family val="2"/>
          </rPr>
          <t>cif</t>
        </r>
      </text>
    </comment>
    <comment ref="J82" authorId="0" shapeId="0" xr:uid="{A8152578-92C7-46A5-A519-BD5EDD950826}">
      <text>
        <r>
          <rPr>
            <b/>
            <sz val="9"/>
            <color indexed="81"/>
            <rFont val="Segoe UI"/>
            <family val="2"/>
          </rPr>
          <t>600.00 Trapezblech
2 x 1.1 m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<sst xmlns="http://schemas.openxmlformats.org/spreadsheetml/2006/main" count="226" uniqueCount="184">
  <si>
    <t>V</t>
  </si>
  <si>
    <t>Watt</t>
  </si>
  <si>
    <t>h</t>
  </si>
  <si>
    <t>Fridge</t>
  </si>
  <si>
    <t>bükert 6213 EV 2/2 Solenoid Valve 24V</t>
  </si>
  <si>
    <t>Tumbler (Dryer)</t>
  </si>
  <si>
    <t>Washing Machine</t>
  </si>
  <si>
    <t>Airconditioners 1.5 HP   (4)</t>
  </si>
  <si>
    <t>Airconditioners 2.0 HP</t>
  </si>
  <si>
    <t>Airconditioners 2.5 HP</t>
  </si>
  <si>
    <t>Deep Freezer</t>
  </si>
  <si>
    <t>Dishwasher</t>
  </si>
  <si>
    <t>Gaggenau kitchen exhaust hood</t>
  </si>
  <si>
    <t>Pressing Iron</t>
  </si>
  <si>
    <t>PHASE I</t>
  </si>
  <si>
    <t>Ah</t>
  </si>
  <si>
    <t>Nos.</t>
  </si>
  <si>
    <t>CHF</t>
  </si>
  <si>
    <t>kg</t>
  </si>
  <si>
    <t>kg total</t>
  </si>
  <si>
    <t>PHASE II</t>
  </si>
  <si>
    <t>Nos</t>
  </si>
  <si>
    <t>m</t>
  </si>
  <si>
    <t>TOTAL I &amp; II</t>
  </si>
  <si>
    <t>Wh</t>
  </si>
  <si>
    <t>SAMSUNG M2070X Xpress laserprinter</t>
  </si>
  <si>
    <t>Batteries</t>
  </si>
  <si>
    <t>250A Sicherungs-Automat mit Resetschalter / Aufbauversion</t>
  </si>
  <si>
    <t>Eff. Battery</t>
  </si>
  <si>
    <t>Eff. Inverter</t>
  </si>
  <si>
    <t>calc.</t>
  </si>
  <si>
    <t>Ventilators</t>
  </si>
  <si>
    <t>Fluorescent Lights</t>
  </si>
  <si>
    <t>Connector Strips</t>
  </si>
  <si>
    <t>Wh/day</t>
  </si>
  <si>
    <t>#  2  LED Security Lighting &amp; El. Locks &amp; Video</t>
  </si>
  <si>
    <t xml:space="preserve">simFactor </t>
  </si>
  <si>
    <t>DoD  %</t>
  </si>
  <si>
    <t>parallel=0</t>
  </si>
  <si>
    <t>autonomie hrs</t>
  </si>
  <si>
    <t>Planning</t>
  </si>
  <si>
    <r>
      <rPr>
        <b/>
        <sz val="12"/>
        <color theme="0"/>
        <rFont val="Arial"/>
        <family val="2"/>
      </rPr>
      <t>Ah</t>
    </r>
    <r>
      <rPr>
        <sz val="8"/>
        <color theme="0"/>
        <rFont val="Arial"/>
        <family val="2"/>
      </rPr>
      <t>Batt</t>
    </r>
  </si>
  <si>
    <t>Temp</t>
  </si>
  <si>
    <t>Panel &amp; Array Specifications</t>
  </si>
  <si>
    <r>
      <t>V</t>
    </r>
    <r>
      <rPr>
        <sz val="8"/>
        <color theme="1"/>
        <rFont val="Arial"/>
        <family val="2"/>
      </rPr>
      <t>cell</t>
    </r>
    <r>
      <rPr>
        <sz val="8"/>
        <color rgb="FF000000"/>
        <rFont val="Arial"/>
        <family val="2"/>
      </rPr>
      <t>/batt</t>
    </r>
  </si>
  <si>
    <t>selected</t>
  </si>
  <si>
    <t>Battery (Cells)-bank</t>
  </si>
  <si>
    <r>
      <t>V</t>
    </r>
    <r>
      <rPr>
        <sz val="8"/>
        <color rgb="FFFFFFFF"/>
        <rFont val="Arial"/>
        <family val="2"/>
      </rPr>
      <t>batt</t>
    </r>
  </si>
  <si>
    <t>Upgrade</t>
  </si>
  <si>
    <t>Strings</t>
  </si>
  <si>
    <t>Panel size mm</t>
  </si>
  <si>
    <r>
      <rPr>
        <b/>
        <sz val="12"/>
        <color theme="0"/>
        <rFont val="Arial"/>
        <family val="2"/>
      </rPr>
      <t>Wh</t>
    </r>
    <r>
      <rPr>
        <b/>
        <sz val="8"/>
        <color theme="0"/>
        <rFont val="Arial"/>
        <family val="2"/>
      </rPr>
      <t>sys</t>
    </r>
  </si>
  <si>
    <t>pcs</t>
  </si>
  <si>
    <t>%sim</t>
  </si>
  <si>
    <t>14.0-14.4</t>
  </si>
  <si>
    <t>Lade  V</t>
  </si>
  <si>
    <r>
      <rPr>
        <b/>
        <sz val="8"/>
        <color rgb="FF000000"/>
        <rFont val="Calibri"/>
        <family val="2"/>
      </rPr>
      <t>Total</t>
    </r>
    <r>
      <rPr>
        <sz val="8"/>
        <color rgb="FF000000"/>
        <rFont val="Calibri"/>
        <family val="2"/>
      </rPr>
      <t xml:space="preserve"> W/day</t>
    </r>
  </si>
  <si>
    <t>BxHxT</t>
  </si>
  <si>
    <r>
      <t xml:space="preserve">#  1  GARAGE: </t>
    </r>
    <r>
      <rPr>
        <sz val="8"/>
        <color theme="4" tint="-0.499984740745262"/>
        <rFont val="Arial"/>
        <family val="2"/>
      </rPr>
      <t>Door automatic, Ventilator, LED</t>
    </r>
  </si>
  <si>
    <r>
      <t xml:space="preserve">#  3  Guest I: </t>
    </r>
    <r>
      <rPr>
        <sz val="8"/>
        <color theme="4" tint="-0.499984740745262"/>
        <rFont val="Arial"/>
        <family val="2"/>
      </rPr>
      <t>Vonado, LED</t>
    </r>
  </si>
  <si>
    <r>
      <t xml:space="preserve">#  4  Master Bedroom / Office: </t>
    </r>
    <r>
      <rPr>
        <sz val="8"/>
        <color theme="4" tint="-0.499984740745262"/>
        <rFont val="Arial"/>
        <family val="2"/>
      </rPr>
      <t xml:space="preserve">TV, CPU, Router , LED, Vonado      </t>
    </r>
  </si>
  <si>
    <r>
      <t xml:space="preserve">#  5  GUEST II:  </t>
    </r>
    <r>
      <rPr>
        <sz val="8"/>
        <color theme="4" tint="-0.499984740745262"/>
        <rFont val="Arial"/>
        <family val="2"/>
      </rPr>
      <t>TV, Vonado, LED</t>
    </r>
  </si>
  <si>
    <r>
      <t>#  6  KITCHEN</t>
    </r>
    <r>
      <rPr>
        <sz val="10"/>
        <color theme="4" tint="-0.499984740745262"/>
        <rFont val="Arial"/>
        <family val="2"/>
      </rPr>
      <t xml:space="preserve">, </t>
    </r>
    <r>
      <rPr>
        <sz val="8"/>
        <color theme="4" tint="-0.499984740745262"/>
        <rFont val="Arial"/>
        <family val="2"/>
      </rPr>
      <t>STORE &amp; CORRIDOR, Vonado</t>
    </r>
  </si>
  <si>
    <r>
      <t xml:space="preserve">#  7  DINING, </t>
    </r>
    <r>
      <rPr>
        <sz val="8"/>
        <color theme="4" tint="-0.499984740745262"/>
        <rFont val="Arial"/>
        <family val="2"/>
      </rPr>
      <t>Vonado, LED</t>
    </r>
  </si>
  <si>
    <r>
      <t xml:space="preserve">#  8  LIVING ROOM: </t>
    </r>
    <r>
      <rPr>
        <sz val="8"/>
        <color theme="4" tint="-0.499984740745262"/>
        <rFont val="Arial"/>
        <family val="2"/>
      </rPr>
      <t xml:space="preserve">TV, Sat, LED, Vonado </t>
    </r>
  </si>
  <si>
    <r>
      <t>#  9  PORCH,</t>
    </r>
    <r>
      <rPr>
        <sz val="10"/>
        <color theme="4" tint="-0.499984740745262"/>
        <rFont val="Arial"/>
        <family val="2"/>
      </rPr>
      <t xml:space="preserve"> </t>
    </r>
    <r>
      <rPr>
        <sz val="8"/>
        <color theme="4" tint="-0.499984740745262"/>
        <rFont val="Arial"/>
        <family val="2"/>
      </rPr>
      <t>Ventilator</t>
    </r>
  </si>
  <si>
    <r>
      <t xml:space="preserve"># 10 CONTAINER, Restroom Staff:  </t>
    </r>
    <r>
      <rPr>
        <sz val="8"/>
        <color theme="4" tint="-0.499984740745262"/>
        <rFont val="Arial"/>
        <family val="2"/>
      </rPr>
      <t>TV, 3 LED, Ventilator</t>
    </r>
  </si>
  <si>
    <t>sim aux</t>
  </si>
  <si>
    <t>W</t>
  </si>
  <si>
    <t>hrs</t>
  </si>
  <si>
    <r>
      <t>kWh</t>
    </r>
    <r>
      <rPr>
        <sz val="8"/>
        <color rgb="FF000000"/>
        <rFont val="Calibri"/>
        <family val="2"/>
      </rPr>
      <t>/Day</t>
    </r>
  </si>
  <si>
    <t>nos</t>
  </si>
  <si>
    <r>
      <t>Wh</t>
    </r>
    <r>
      <rPr>
        <sz val="8"/>
        <color theme="0"/>
        <rFont val="Calibri"/>
        <family val="2"/>
      </rPr>
      <t>_req</t>
    </r>
  </si>
  <si>
    <r>
      <t>W</t>
    </r>
    <r>
      <rPr>
        <sz val="8"/>
        <color theme="0"/>
        <rFont val="Arial"/>
        <family val="2"/>
      </rPr>
      <t>_array</t>
    </r>
  </si>
  <si>
    <r>
      <t>W</t>
    </r>
    <r>
      <rPr>
        <sz val="8"/>
        <color theme="0"/>
        <rFont val="Arial"/>
        <family val="2"/>
      </rPr>
      <t>_panel</t>
    </r>
  </si>
  <si>
    <r>
      <t xml:space="preserve">Components selected      </t>
    </r>
    <r>
      <rPr>
        <b/>
        <sz val="10"/>
        <color theme="4" tint="-0.499984740745262"/>
        <rFont val="Arial"/>
        <family val="2"/>
      </rPr>
      <t>Phase I upgrade</t>
    </r>
  </si>
  <si>
    <t xml:space="preserve">PHASE II      2021        </t>
  </si>
  <si>
    <r>
      <t xml:space="preserve">Components selected      </t>
    </r>
    <r>
      <rPr>
        <b/>
        <sz val="10"/>
        <color theme="4" tint="-0.499984740745262"/>
        <rFont val="Arial"/>
        <family val="2"/>
      </rPr>
      <t>Phase II upgrade</t>
    </r>
  </si>
  <si>
    <t>Upgrading   2020 / 21</t>
  </si>
  <si>
    <t>Offgridtec Charge Regulator to Battery with 30A Fuse</t>
  </si>
  <si>
    <r>
      <t>Wh</t>
    </r>
    <r>
      <rPr>
        <sz val="8"/>
        <color theme="2" tint="-0.749992370372631"/>
        <rFont val="Arial"/>
        <family val="2"/>
      </rPr>
      <t>_calc</t>
    </r>
  </si>
  <si>
    <t>V_sys</t>
  </si>
  <si>
    <t>390 x260 x 232</t>
  </si>
  <si>
    <t>Panels/ String</t>
  </si>
  <si>
    <t>m2 Area</t>
  </si>
  <si>
    <t>Eelectrical  Gate Locks and Video</t>
  </si>
  <si>
    <t>Oven, Coffe Machine, Microwave</t>
  </si>
  <si>
    <r>
      <t xml:space="preserve">Connected to the </t>
    </r>
    <r>
      <rPr>
        <b/>
        <sz val="16"/>
        <color rgb="FFFF0000"/>
        <rFont val="Arial"/>
        <family val="2"/>
      </rPr>
      <t xml:space="preserve"> EXISTING</t>
    </r>
    <r>
      <rPr>
        <b/>
        <sz val="10"/>
        <color theme="3"/>
        <rFont val="Arial"/>
        <family val="2"/>
      </rPr>
      <t xml:space="preserve">  </t>
    </r>
    <r>
      <rPr>
        <b/>
        <sz val="8"/>
        <color theme="3"/>
        <rFont val="Arial"/>
        <family val="2"/>
      </rPr>
      <t xml:space="preserve"> Distribution Box &amp; Generator</t>
    </r>
  </si>
  <si>
    <r>
      <t>V</t>
    </r>
    <r>
      <rPr>
        <sz val="8"/>
        <color rgb="FFFFFFFF"/>
        <rFont val="Arial"/>
        <family val="2"/>
      </rPr>
      <t>sys</t>
    </r>
  </si>
  <si>
    <t>Parameters</t>
  </si>
  <si>
    <t xml:space="preserve"> </t>
  </si>
  <si>
    <t>D</t>
  </si>
  <si>
    <t>GreenAkku</t>
  </si>
  <si>
    <t>%  Solar cover</t>
  </si>
  <si>
    <t>kVA</t>
  </si>
  <si>
    <t>Voc</t>
  </si>
  <si>
    <t xml:space="preserve">MPPT </t>
  </si>
  <si>
    <t>80A</t>
  </si>
  <si>
    <t>Options &amp; Specifications</t>
  </si>
  <si>
    <t>panels</t>
  </si>
  <si>
    <r>
      <t>PHASE I</t>
    </r>
    <r>
      <rPr>
        <b/>
        <sz val="8"/>
        <color rgb="FFFFFFFF"/>
        <rFont val="Arial"/>
        <family val="2"/>
      </rPr>
      <t xml:space="preserve">     Location Accra, Palas Town  N 5.6° W 0.17°</t>
    </r>
    <r>
      <rPr>
        <b/>
        <sz val="14"/>
        <color rgb="FFFFFFFF"/>
        <rFont val="Arial"/>
        <family val="2"/>
      </rPr>
      <t xml:space="preserve">      </t>
    </r>
    <r>
      <rPr>
        <b/>
        <sz val="8"/>
        <color rgb="FFFFFFFF"/>
        <rFont val="Arial"/>
        <family val="2"/>
      </rPr>
      <t>by "Cuckoo"</t>
    </r>
  </si>
  <si>
    <t>24V</t>
  </si>
  <si>
    <t>IWS Solar</t>
  </si>
  <si>
    <t>Isc</t>
  </si>
  <si>
    <t>Batterie Specifications</t>
  </si>
  <si>
    <t>Enter</t>
  </si>
  <si>
    <t>VocT</t>
  </si>
  <si>
    <t>AC</t>
  </si>
  <si>
    <t>60A</t>
  </si>
  <si>
    <t>BK IROC S3 Montage [1x250-380Wp]</t>
  </si>
  <si>
    <t>with aux. = 1</t>
  </si>
  <si>
    <t>Total</t>
  </si>
  <si>
    <t>[4x250-380Wp]  Montagepaket</t>
  </si>
  <si>
    <t xml:space="preserve">[3x250-380Wp] Montagepaket </t>
  </si>
  <si>
    <t>120-450</t>
  </si>
  <si>
    <t>Waterproof Circuit Breakers 2x80A; 1x250A</t>
  </si>
  <si>
    <t>[2x250-380Wp]  Montagepaket</t>
  </si>
  <si>
    <t>Schletter SingleFix-V Montagekit</t>
  </si>
  <si>
    <t>4-all</t>
  </si>
  <si>
    <t>Montagesystem</t>
  </si>
  <si>
    <t>OptiSolar SP3000 Handy / MTTP</t>
  </si>
  <si>
    <t>europe-solar</t>
  </si>
  <si>
    <t>H</t>
  </si>
  <si>
    <t>Ordered</t>
  </si>
  <si>
    <r>
      <t>I</t>
    </r>
    <r>
      <rPr>
        <b/>
        <sz val="8"/>
        <color theme="0"/>
        <rFont val="Arial"/>
        <family val="2"/>
      </rPr>
      <t>sc</t>
    </r>
    <r>
      <rPr>
        <b/>
        <sz val="10"/>
        <color theme="0"/>
        <rFont val="Arial"/>
        <family val="2"/>
      </rPr>
      <t xml:space="preserve"> (A)</t>
    </r>
  </si>
  <si>
    <t>Sun hrs</t>
  </si>
  <si>
    <t>Hours autonomy</t>
  </si>
  <si>
    <t>by Cuckoo</t>
  </si>
  <si>
    <t>SolaxX1 Air X1-3.0</t>
  </si>
  <si>
    <t>100-580</t>
  </si>
  <si>
    <t>10A</t>
  </si>
  <si>
    <t>ebay</t>
  </si>
  <si>
    <t>merkasol</t>
  </si>
  <si>
    <t>mm2 / A</t>
  </si>
  <si>
    <t>ALPHA OUTBACK SPC III 3000-24</t>
  </si>
  <si>
    <t>Width</t>
  </si>
  <si>
    <r>
      <t>W</t>
    </r>
    <r>
      <rPr>
        <sz val="14"/>
        <rFont val="Calibri"/>
        <family val="2"/>
      </rPr>
      <t>_</t>
    </r>
    <r>
      <rPr>
        <b/>
        <sz val="8"/>
        <rFont val="Calibri"/>
        <family val="2"/>
      </rPr>
      <t>req</t>
    </r>
  </si>
  <si>
    <t xml:space="preserve">Panasonic HIT® N250 </t>
  </si>
  <si>
    <t xml:space="preserve">Kg </t>
  </si>
  <si>
    <r>
      <t xml:space="preserve">   choose</t>
    </r>
    <r>
      <rPr>
        <b/>
        <sz val="10"/>
        <color rgb="FF000000"/>
        <rFont val="Calibri"/>
        <family val="2"/>
      </rPr>
      <t xml:space="preserve"> BATTERY </t>
    </r>
  </si>
  <si>
    <r>
      <t xml:space="preserve">Choose </t>
    </r>
    <r>
      <rPr>
        <b/>
        <sz val="10"/>
        <color rgb="FF000000"/>
        <rFont val="Calibri"/>
        <family val="2"/>
      </rPr>
      <t>INVERTER / MPPT</t>
    </r>
  </si>
  <si>
    <r>
      <t xml:space="preserve">choose </t>
    </r>
    <r>
      <rPr>
        <b/>
        <sz val="10"/>
        <color rgb="FF000000"/>
        <rFont val="Calibri"/>
        <family val="2"/>
      </rPr>
      <t>SOLAR PANEL</t>
    </r>
  </si>
  <si>
    <t>4 / 15A</t>
  </si>
  <si>
    <t>alma-solarshop</t>
  </si>
  <si>
    <t>SolaX inverter X1 Boost 3000</t>
  </si>
  <si>
    <t>70-580</t>
  </si>
  <si>
    <t>335 x  174 x 191 mm</t>
  </si>
  <si>
    <r>
      <t xml:space="preserve">25 / 130 </t>
    </r>
    <r>
      <rPr>
        <b/>
        <sz val="8"/>
        <color theme="8" tint="-0.499984740745262"/>
        <rFont val="Arial"/>
        <family val="2"/>
      </rPr>
      <t>A</t>
    </r>
  </si>
  <si>
    <t>mm2 / A / 1.5m</t>
  </si>
  <si>
    <t>swiss-victron</t>
  </si>
  <si>
    <t>SOLAR PANELS</t>
  </si>
  <si>
    <t xml:space="preserve">BATTERIES </t>
  </si>
  <si>
    <t>Off-Grid INVERTERS with MPPT</t>
  </si>
  <si>
    <t>SHARP NU-BA385</t>
  </si>
  <si>
    <t>Victron Lead- Carbon 12V / 160 Ah</t>
  </si>
  <si>
    <r>
      <t>W</t>
    </r>
    <r>
      <rPr>
        <sz val="8"/>
        <color rgb="FF000000"/>
        <rFont val="Calibri"/>
        <family val="2"/>
      </rPr>
      <t>_array</t>
    </r>
  </si>
  <si>
    <r>
      <t>Volt</t>
    </r>
    <r>
      <rPr>
        <b/>
        <sz val="8"/>
        <rFont val="Arial"/>
        <family val="2"/>
      </rPr>
      <t>_</t>
    </r>
    <r>
      <rPr>
        <b/>
        <sz val="8"/>
        <rFont val="Calibri"/>
        <family val="2"/>
      </rPr>
      <t>Sys</t>
    </r>
  </si>
  <si>
    <r>
      <t>W</t>
    </r>
    <r>
      <rPr>
        <b/>
        <sz val="8"/>
        <color theme="4" tint="-0.499984740745262"/>
        <rFont val="Arial"/>
        <family val="2"/>
      </rPr>
      <t>_req</t>
    </r>
  </si>
  <si>
    <r>
      <t>W</t>
    </r>
    <r>
      <rPr>
        <b/>
        <sz val="8"/>
        <color theme="4" tint="-0.499984740745262"/>
        <rFont val="Arial"/>
        <family val="2"/>
      </rPr>
      <t>_sys</t>
    </r>
  </si>
  <si>
    <t>amazon.de</t>
  </si>
  <si>
    <t>amzon.de</t>
  </si>
  <si>
    <t>ACCURAT Traction 24V 200Ah</t>
  </si>
  <si>
    <t>Victron Gel Deep Cycle 12V/220Ah</t>
  </si>
  <si>
    <t>522 x 238 x 240 mm</t>
  </si>
  <si>
    <r>
      <rPr>
        <b/>
        <sz val="10"/>
        <color theme="0"/>
        <rFont val="Arial"/>
        <family val="2"/>
      </rPr>
      <t>Ah</t>
    </r>
    <r>
      <rPr>
        <sz val="10"/>
        <color theme="0"/>
        <rFont val="Arial"/>
        <family val="2"/>
      </rPr>
      <t>_sys</t>
    </r>
  </si>
  <si>
    <t>6+</t>
  </si>
  <si>
    <t>Axitec AXIpremium AC-360M/156-72S</t>
  </si>
  <si>
    <t>europe-solarstore</t>
  </si>
  <si>
    <t>2'168</t>
  </si>
  <si>
    <t>2'300</t>
  </si>
  <si>
    <t>1'604</t>
  </si>
  <si>
    <t>2'456</t>
  </si>
  <si>
    <t>TRINAsolar  HoneyBlack 340W</t>
  </si>
  <si>
    <t>SHUNBIN Livepo4  12V 100ah</t>
  </si>
  <si>
    <t>Water Pump DAB Active JC 102M</t>
  </si>
  <si>
    <t>Water Pump AL-KO Comfort 5000</t>
  </si>
  <si>
    <t>Solar Kabel 2x10mm2 / 30m</t>
  </si>
  <si>
    <t>Solar Kupplungsstecker / Buchse 10 mm2</t>
  </si>
  <si>
    <t>I'M SOLAR 280P  Polycrystallin</t>
  </si>
  <si>
    <t>100A Sicherungs-Automat mit Resetschalter / Aufbauversion</t>
  </si>
  <si>
    <t>Batteriekabel 34mm² / 2m , red</t>
  </si>
  <si>
    <t>Batteriekabel 34mm² / 2m , black</t>
  </si>
  <si>
    <t>Batteriekabel 34mm² / 0.5m , black</t>
  </si>
  <si>
    <t>MC4 Solar Crimping Tool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</si>
</sst>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807]#,##0"/>
    <numFmt numFmtId="165" formatCode="#,##0.0"/>
    <numFmt numFmtId="166" formatCode="[$-807]#,##0.00"/>
    <numFmt numFmtId="167" formatCode="0.0"/>
    <numFmt numFmtId="168" formatCode="[$-807]General"/>
    <numFmt numFmtId="169" formatCode="[$-807]0"/>
    <numFmt numFmtId="170" formatCode="[$SFr.-807]&quot; &quot;#,##0.00;[Red][$SFr.-807]&quot; -&quot;#,##0.00"/>
    <numFmt numFmtId="171" formatCode="0.000"/>
  </numFmts>
  <fonts count="138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/>
      <sz val="10"/>
      <color rgb="FF0563C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D0CECE"/>
      <name val="Arial"/>
      <family val="2"/>
    </font>
    <font>
      <b/>
      <sz val="14"/>
      <color rgb="FFFFFFFF"/>
      <name val="Arial"/>
      <family val="2"/>
    </font>
    <font>
      <b/>
      <sz val="9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u/>
      <sz val="9"/>
      <color rgb="FF000000"/>
      <name val="Arial"/>
      <family val="2"/>
    </font>
    <font>
      <sz val="8"/>
      <color rgb="FF181717"/>
      <name val="Arial"/>
      <family val="2"/>
    </font>
    <font>
      <sz val="10"/>
      <color rgb="FF000000"/>
      <name val="Verdana"/>
      <family val="2"/>
    </font>
    <font>
      <b/>
      <sz val="8"/>
      <color rgb="FFFFFF00"/>
      <name val="Arial"/>
      <family val="2"/>
    </font>
    <font>
      <b/>
      <sz val="10"/>
      <color rgb="FF111111"/>
      <name val="Arial"/>
      <family val="2"/>
    </font>
    <font>
      <sz val="11"/>
      <color rgb="FFFFFFFF"/>
      <name val="Calibri"/>
      <family val="2"/>
    </font>
    <font>
      <b/>
      <sz val="14"/>
      <color theme="3"/>
      <name val="Arial"/>
      <family val="2"/>
    </font>
    <font>
      <sz val="10"/>
      <color theme="9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5" tint="-0.249977111117893"/>
      <name val="Arial"/>
      <family val="2"/>
    </font>
    <font>
      <b/>
      <sz val="10"/>
      <color theme="7" tint="-0.499984740745262"/>
      <name val="Arial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4" tint="-0.499984740745262"/>
      <name val="Arial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b/>
      <sz val="9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  <font>
      <b/>
      <sz val="11"/>
      <color rgb="FF002060"/>
      <name val="Arial"/>
      <family val="2"/>
    </font>
    <font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u/>
      <sz val="8"/>
      <color theme="10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indexed="81"/>
      <name val="Segoe UI"/>
      <family val="2"/>
    </font>
    <font>
      <b/>
      <sz val="10"/>
      <color theme="3" tint="-0.499984740745262"/>
      <name val="Calibri"/>
      <family val="2"/>
    </font>
    <font>
      <b/>
      <sz val="11"/>
      <name val="Calibri"/>
      <family val="2"/>
    </font>
    <font>
      <b/>
      <sz val="14"/>
      <color theme="0" tint="-0.34998626667073579"/>
      <name val="Arial"/>
      <family val="2"/>
    </font>
    <font>
      <b/>
      <sz val="11"/>
      <color theme="7" tint="0.59999389629810485"/>
      <name val="Calibri"/>
      <family val="2"/>
    </font>
    <font>
      <b/>
      <sz val="8"/>
      <color theme="3"/>
      <name val="Arial"/>
      <family val="2"/>
    </font>
    <font>
      <sz val="8"/>
      <color rgb="FFFFFFFF"/>
      <name val="Calibri"/>
      <family val="2"/>
    </font>
    <font>
      <b/>
      <sz val="14"/>
      <color theme="0"/>
      <name val="Calibri"/>
      <family val="2"/>
    </font>
    <font>
      <sz val="10"/>
      <color theme="2" tint="-0.749992370372631"/>
      <name val="Arial"/>
      <family val="2"/>
    </font>
    <font>
      <sz val="8"/>
      <color theme="2" tint="-0.749992370372631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1"/>
      <color rgb="FF222222"/>
      <name val="Roboto"/>
    </font>
    <font>
      <b/>
      <sz val="16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7"/>
      <color theme="1"/>
      <name val="Calibri"/>
      <family val="2"/>
    </font>
    <font>
      <b/>
      <sz val="9"/>
      <color theme="0"/>
      <name val="Arial"/>
      <family val="2"/>
    </font>
    <font>
      <sz val="11"/>
      <color rgb="FF333333"/>
      <name val="Open Sans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</font>
    <font>
      <b/>
      <sz val="11"/>
      <color indexed="81"/>
      <name val="Segoe U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rgb="FFC00000"/>
      <name val="Calibri"/>
      <family val="2"/>
    </font>
    <font>
      <b/>
      <sz val="12"/>
      <color rgb="FFFFFF00"/>
      <name val="Arial"/>
      <family val="2"/>
    </font>
    <font>
      <b/>
      <sz val="16"/>
      <color theme="2"/>
      <name val="Arial"/>
      <family val="2"/>
    </font>
    <font>
      <b/>
      <sz val="12"/>
      <color theme="2"/>
      <name val="Arial"/>
      <family val="2"/>
    </font>
    <font>
      <sz val="12"/>
      <color rgb="FFFF0000"/>
      <name val="Arial"/>
      <family val="2"/>
    </font>
    <font>
      <b/>
      <sz val="8"/>
      <color theme="4" tint="-0.499984740745262"/>
      <name val="Arial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color theme="0"/>
      <name val="Arial"/>
      <family val="2"/>
    </font>
    <font>
      <b/>
      <sz val="9"/>
      <color theme="3" tint="-0.499984740745262"/>
      <name val="Calibri"/>
      <family val="2"/>
    </font>
    <font>
      <sz val="9"/>
      <color theme="4" tint="-0.499984740745262"/>
      <name val="Arial"/>
      <family val="2"/>
    </font>
    <font>
      <sz val="12"/>
      <color rgb="FFFFFFFF"/>
      <name val="Calibri"/>
      <family val="2"/>
    </font>
    <font>
      <b/>
      <sz val="12"/>
      <color theme="4" tint="-0.499984740745262"/>
      <name val="Calibri"/>
      <family val="2"/>
    </font>
    <font>
      <b/>
      <sz val="12"/>
      <color rgb="FF000000"/>
      <name val="Calibri"/>
      <family val="2"/>
    </font>
    <font>
      <sz val="12"/>
      <color theme="1" tint="4.9989318521683403E-2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rgb="FF808080"/>
      <name val="Arial"/>
      <family val="2"/>
    </font>
    <font>
      <b/>
      <sz val="10"/>
      <color theme="3" tint="-0.499984740745262"/>
      <name val="Arial"/>
      <family val="2"/>
    </font>
    <font>
      <b/>
      <sz val="11"/>
      <color theme="4" tint="-0.249977111117893"/>
      <name val="Calibri"/>
      <family val="2"/>
    </font>
    <font>
      <b/>
      <sz val="9"/>
      <color rgb="FFFFFFFF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b/>
      <sz val="14"/>
      <color theme="0"/>
      <name val="Arial"/>
      <family val="2"/>
    </font>
    <font>
      <b/>
      <u/>
      <sz val="9"/>
      <color theme="8" tint="-0.249977111117893"/>
      <name val="Arial"/>
      <family val="2"/>
    </font>
    <font>
      <sz val="10"/>
      <color theme="3" tint="-0.499984740745262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385724"/>
        <bgColor rgb="FF38572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333F50"/>
        <bgColor rgb="FF333F50"/>
      </patternFill>
    </fill>
    <fill>
      <patternFill patternType="solid">
        <fgColor rgb="FFFFFF00"/>
        <bgColor rgb="FFFFFF00"/>
      </patternFill>
    </fill>
    <fill>
      <patternFill patternType="solid">
        <fgColor rgb="FF0E563B"/>
        <bgColor rgb="FF0E563B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38572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A9D18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7171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BF90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rgb="FFE2F0D9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C000"/>
        <bgColor rgb="FFFFFFCC"/>
      </patternFill>
    </fill>
    <fill>
      <patternFill patternType="solid">
        <fgColor theme="4" tint="0.59999389629810485"/>
        <bgColor rgb="FF385724"/>
      </patternFill>
    </fill>
    <fill>
      <patternFill patternType="solid">
        <fgColor theme="4" tint="-0.249977111117893"/>
        <bgColor rgb="FF385724"/>
      </patternFill>
    </fill>
    <fill>
      <patternFill patternType="solid">
        <fgColor theme="9" tint="-0.499984740745262"/>
        <bgColor rgb="FFFFC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C000"/>
        <bgColor rgb="FFBF9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rgb="FFD9D9D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1"/>
        <bgColor rgb="FFC55A11"/>
      </patternFill>
    </fill>
    <fill>
      <patternFill patternType="solid">
        <fgColor theme="9" tint="-0.249977111117893"/>
        <bgColor rgb="FF385724"/>
      </patternFill>
    </fill>
    <fill>
      <patternFill patternType="solid">
        <fgColor theme="9" tint="-0.499984740745262"/>
        <bgColor rgb="FF38572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/>
        <bgColor rgb="FF0E563B"/>
      </patternFill>
    </fill>
    <fill>
      <patternFill patternType="solid">
        <fgColor theme="0"/>
        <bgColor rgb="FF333F5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-0.249977111117893"/>
        <bgColor rgb="FFFF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rgb="FFE7E6E6"/>
      </patternFill>
    </fill>
    <fill>
      <patternFill patternType="solid">
        <fgColor theme="2" tint="-9.9978637043366805E-2"/>
        <bgColor rgb="FF385724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4" tint="0.39997558519241921"/>
        <bgColor rgb="FF385724"/>
      </patternFill>
    </fill>
    <fill>
      <patternFill patternType="solid">
        <fgColor theme="4" tint="-0.249977111117893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rgb="FF3857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rgb="FFBF9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9" tint="-0.249977111117893"/>
        <bgColor rgb="FFFFFFCC"/>
      </patternFill>
    </fill>
    <fill>
      <patternFill patternType="solid">
        <fgColor theme="1"/>
        <bgColor rgb="FFFF0000"/>
      </patternFill>
    </fill>
    <fill>
      <patternFill patternType="solid">
        <fgColor theme="1"/>
        <bgColor rgb="FF0E563B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rgb="FF404040"/>
      </patternFill>
    </fill>
    <fill>
      <patternFill patternType="solid">
        <fgColor theme="9" tint="-0.499984740745262"/>
        <bgColor rgb="FF404040"/>
      </patternFill>
    </fill>
    <fill>
      <patternFill patternType="solid">
        <fgColor theme="4" tint="-0.249977111117893"/>
        <bgColor rgb="FFFF0000"/>
      </patternFill>
    </fill>
    <fill>
      <patternFill patternType="solid">
        <fgColor theme="5" tint="0.79998168889431442"/>
        <bgColor rgb="FF404040"/>
      </patternFill>
    </fill>
    <fill>
      <patternFill patternType="solid">
        <fgColor theme="4" tint="-0.499984740745262"/>
        <bgColor rgb="FF385724"/>
      </patternFill>
    </fill>
    <fill>
      <patternFill patternType="solid">
        <fgColor theme="2" tint="-0.499984740745262"/>
        <bgColor rgb="FFFFFFFF"/>
      </patternFill>
    </fill>
    <fill>
      <patternFill patternType="solid">
        <fgColor theme="2" tint="-0.499984740745262"/>
        <bgColor rgb="FFFFFF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rgb="FF0E563B"/>
      </patternFill>
    </fill>
    <fill>
      <patternFill patternType="solid">
        <fgColor theme="3" tint="0.79998168889431442"/>
        <bgColor rgb="FF385724"/>
      </patternFill>
    </fill>
    <fill>
      <patternFill patternType="solid">
        <fgColor theme="9" tint="0.79998168889431442"/>
        <bgColor rgb="FF385724"/>
      </patternFill>
    </fill>
    <fill>
      <patternFill patternType="solid">
        <fgColor theme="1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rgb="FFFFFFCC"/>
      </patternFill>
    </fill>
    <fill>
      <patternFill patternType="solid">
        <fgColor rgb="FFFFFF00"/>
        <bgColor rgb="FFFFFFFF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4" tint="-0.249977111117893"/>
      </left>
      <right/>
      <top/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4" tint="-0.249977111117893"/>
      </left>
      <right/>
      <top style="medium">
        <color indexed="64"/>
      </top>
      <bottom/>
      <diagonal/>
    </border>
    <border>
      <left style="medium">
        <color theme="4" tint="-0.249977111117893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249977111117893"/>
      </left>
      <right/>
      <top style="medium">
        <color indexed="64"/>
      </top>
      <bottom style="medium">
        <color theme="4" tint="-0.249977111117893"/>
      </bottom>
      <diagonal/>
    </border>
    <border>
      <left style="medium">
        <color theme="9" tint="-0.24997711111789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hair">
        <color rgb="FFFF0000"/>
      </left>
      <right style="medium">
        <color theme="4" tint="-0.249977111117893"/>
      </right>
      <top style="hair">
        <color rgb="FFFF0000"/>
      </top>
      <bottom style="hair">
        <color rgb="FFFF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medium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FF0000"/>
      </bottom>
      <diagonal/>
    </border>
    <border>
      <left style="medium">
        <color rgb="FFC00000"/>
      </left>
      <right style="medium">
        <color rgb="FFFF0000"/>
      </right>
      <top/>
      <bottom style="medium">
        <color rgb="FFFF0000"/>
      </bottom>
      <diagonal/>
    </border>
    <border>
      <left/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/>
      <right style="hair">
        <color indexed="64"/>
      </right>
      <top style="medium">
        <color theme="4" tint="-0.24997711111789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4" tint="-0.249977111117893"/>
      </top>
      <bottom style="hair">
        <color indexed="64"/>
      </bottom>
      <diagonal/>
    </border>
    <border>
      <left/>
      <right style="hair">
        <color rgb="FFFF0000"/>
      </right>
      <top style="hair">
        <color rgb="FFFF0000"/>
      </top>
      <bottom style="medium">
        <color theme="4" tint="-0.249977111117893"/>
      </bottom>
      <diagonal/>
    </border>
    <border>
      <left style="hair">
        <color rgb="FFFF0000"/>
      </left>
      <right style="hair">
        <color rgb="FFFF0000"/>
      </right>
      <top/>
      <bottom style="medium">
        <color theme="4" tint="-0.249977111117893"/>
      </bottom>
      <diagonal/>
    </border>
    <border>
      <left style="hair">
        <color rgb="FFFF0000"/>
      </left>
      <right style="medium">
        <color theme="4" tint="-0.249977111117893"/>
      </right>
      <top style="hair">
        <color rgb="FFFF0000"/>
      </top>
      <bottom style="medium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hair">
        <color theme="4" tint="-0.249977111117893"/>
      </right>
      <top/>
      <bottom style="medium">
        <color theme="4" tint="-0.249977111117893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theme="4" tint="-0.249977111117893"/>
      </right>
      <top style="hair">
        <color theme="4" tint="-0.249977111117893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/>
      <right style="thin">
        <color indexed="64"/>
      </right>
      <top style="hair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medium">
        <color theme="4" tint="-0.249977111117893"/>
      </right>
      <top style="medium">
        <color indexed="64"/>
      </top>
      <bottom style="hair">
        <color theme="4" tint="-0.249977111117893"/>
      </bottom>
      <diagonal/>
    </border>
    <border>
      <left/>
      <right style="medium">
        <color theme="4" tint="-0.249977111117893"/>
      </right>
      <top style="hair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hair">
        <color rgb="FFFF0000"/>
      </left>
      <right style="medium">
        <color theme="4" tint="-0.249977111117893"/>
      </right>
      <top/>
      <bottom style="hair">
        <color rgb="FFFF0000"/>
      </bottom>
      <diagonal/>
    </border>
    <border>
      <left style="medium">
        <color indexed="64"/>
      </left>
      <right style="hair">
        <color theme="4" tint="-0.249977111117893"/>
      </right>
      <top style="medium">
        <color indexed="64"/>
      </top>
      <bottom style="hair">
        <color theme="4" tint="-0.249977111117893"/>
      </bottom>
      <diagonal/>
    </border>
    <border>
      <left style="hair">
        <color theme="4" tint="-0.249977111117893"/>
      </left>
      <right style="hair">
        <color theme="4" tint="-0.249977111117893"/>
      </right>
      <top style="medium">
        <color indexed="64"/>
      </top>
      <bottom style="hair">
        <color theme="4" tint="-0.249977111117893"/>
      </bottom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indexed="64"/>
      </bottom>
      <diagonal/>
    </border>
    <border>
      <left style="hair">
        <color theme="4" tint="-0.249977111117893"/>
      </left>
      <right style="hair">
        <color theme="4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 tint="-0.249977111117893"/>
      </left>
      <right style="medium">
        <color indexed="64"/>
      </right>
      <top/>
      <bottom style="thin">
        <color theme="0"/>
      </bottom>
      <diagonal/>
    </border>
    <border>
      <left style="medium">
        <color theme="4" tint="-0.249977111117893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4" tint="-0.249977111117893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rgb="FF0070C0"/>
      </left>
      <right/>
      <top style="medium">
        <color theme="4" tint="-0.249977111117893"/>
      </top>
      <bottom style="hair">
        <color indexed="64"/>
      </bottom>
      <diagonal/>
    </border>
    <border>
      <left style="medium">
        <color rgb="FF0070C0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4" tint="-0.249977111117893"/>
      </right>
      <top style="hair">
        <color theme="4" tint="-0.249977111117893"/>
      </top>
      <bottom/>
      <diagonal/>
    </border>
    <border>
      <left style="medium">
        <color indexed="64"/>
      </left>
      <right style="hair">
        <color theme="4" tint="-0.249977111117893"/>
      </right>
      <top/>
      <bottom style="medium">
        <color indexed="64"/>
      </bottom>
      <diagonal/>
    </border>
    <border>
      <left style="hair">
        <color theme="4" tint="-0.249977111117893"/>
      </left>
      <right style="hair">
        <color theme="4" tint="-0.249977111117893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 tint="-0.249977111117893"/>
      </left>
      <right/>
      <top style="thin">
        <color rgb="FFFFC000"/>
      </top>
      <bottom style="thin">
        <color rgb="FFFFC000"/>
      </bottom>
      <diagonal/>
    </border>
    <border>
      <left style="thin">
        <color rgb="FF000000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theme="4" tint="-0.249977111117893"/>
      </bottom>
      <diagonal/>
    </border>
    <border>
      <left style="medium">
        <color theme="9" tint="-0.249977111117893"/>
      </left>
      <right style="thin">
        <color rgb="FFFFFFFF"/>
      </right>
      <top style="medium">
        <color indexed="64"/>
      </top>
      <bottom style="medium">
        <color theme="4" tint="-0.249977111117893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theme="9" tint="-0.249977111117893"/>
      </bottom>
      <diagonal/>
    </border>
    <border>
      <left style="thin">
        <color rgb="FF000000"/>
      </left>
      <right style="thin">
        <color rgb="FFFFFFFF"/>
      </right>
      <top style="medium">
        <color indexed="64"/>
      </top>
      <bottom style="medium">
        <color theme="4" tint="-0.249977111117893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9" tint="-0.249977111117893"/>
      </left>
      <right style="thin">
        <color rgb="FFFFC000"/>
      </right>
      <top/>
      <bottom style="medium">
        <color indexed="64"/>
      </bottom>
      <diagonal/>
    </border>
    <border>
      <left style="thin">
        <color rgb="FFFFC000"/>
      </left>
      <right style="thin">
        <color rgb="FFFFC000"/>
      </right>
      <top/>
      <bottom style="medium">
        <color indexed="64"/>
      </bottom>
      <diagonal/>
    </border>
    <border>
      <left style="thin">
        <color rgb="FFFFC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indexed="64"/>
      </left>
      <right style="hair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 style="hair">
        <color theme="4" tint="-0.249977111117893"/>
      </top>
      <bottom/>
      <diagonal/>
    </border>
    <border>
      <left style="medium">
        <color indexed="64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/>
      <diagonal/>
    </border>
    <border>
      <left style="medium">
        <color indexed="64"/>
      </left>
      <right style="hair">
        <color theme="4" tint="-0.249977111117893"/>
      </right>
      <top/>
      <bottom style="medium">
        <color theme="4" tint="-0.249977111117893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theme="9" tint="-0.249977111117893"/>
      </right>
      <top/>
      <bottom style="medium">
        <color indexed="64"/>
      </bottom>
      <diagonal/>
    </border>
    <border>
      <left style="hair">
        <color rgb="FFFF0000"/>
      </left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/>
      <top style="thin">
        <color indexed="64"/>
      </top>
      <bottom style="hair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/>
      <bottom style="hair">
        <color theme="4" tint="-0.249977111117893"/>
      </bottom>
      <diagonal/>
    </border>
    <border>
      <left style="medium">
        <color indexed="64"/>
      </left>
      <right/>
      <top style="hair">
        <color theme="4" tint="-0.249977111117893"/>
      </top>
      <bottom/>
      <diagonal/>
    </border>
    <border>
      <left style="medium">
        <color indexed="64"/>
      </left>
      <right style="hair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 style="medium">
        <color theme="4" tint="-0.249977111117893"/>
      </right>
      <top style="hair">
        <color theme="4" tint="-0.249977111117893"/>
      </top>
      <bottom style="medium">
        <color indexed="64"/>
      </bottom>
      <diagonal/>
    </border>
    <border>
      <left style="hair">
        <color theme="4" tint="-0.249977111117893"/>
      </left>
      <right style="medium">
        <color indexed="64"/>
      </right>
      <top style="hair">
        <color theme="4" tint="-0.249977111117893"/>
      </top>
      <bottom style="medium">
        <color indexed="64"/>
      </bottom>
      <diagonal/>
    </border>
    <border>
      <left style="hair">
        <color theme="4" tint="-0.249977111117893"/>
      </left>
      <right style="medium">
        <color theme="4" tint="-0.249977111117893"/>
      </right>
      <top style="medium">
        <color indexed="64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medium">
        <color indexed="64"/>
      </top>
      <bottom style="hair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 style="hair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 style="hair">
        <color theme="4" tint="-0.249977111117893"/>
      </left>
      <right style="medium">
        <color indexed="64"/>
      </right>
      <top style="medium">
        <color indexed="64"/>
      </top>
      <bottom style="hair">
        <color theme="4" tint="-0.249977111117893"/>
      </bottom>
      <diagonal/>
    </border>
    <border>
      <left style="medium">
        <color indexed="64"/>
      </left>
      <right style="hair">
        <color theme="4" tint="-0.249977111117893"/>
      </right>
      <top style="hair">
        <color theme="4" tint="-0.249977111117893"/>
      </top>
      <bottom style="medium">
        <color indexed="64"/>
      </bottom>
      <diagonal/>
    </border>
    <border>
      <left/>
      <right style="hair">
        <color rgb="FFFF0000"/>
      </right>
      <top/>
      <bottom/>
      <diagonal/>
    </border>
    <border>
      <left style="medium">
        <color theme="4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4" tint="-0.249977111117893"/>
      </bottom>
      <diagonal/>
    </border>
    <border>
      <left style="medium">
        <color indexed="64"/>
      </left>
      <right/>
      <top style="medium">
        <color theme="4" tint="-0.249977111117893"/>
      </top>
      <bottom/>
      <diagonal/>
    </border>
    <border>
      <left style="medium">
        <color indexed="64"/>
      </left>
      <right/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hair">
        <color theme="7" tint="-0.499984740745262"/>
      </right>
      <top style="medium">
        <color theme="4" tint="-0.249977111117893"/>
      </top>
      <bottom style="hair">
        <color theme="7" tint="-0.499984740745262"/>
      </bottom>
      <diagonal/>
    </border>
    <border>
      <left style="medium">
        <color indexed="64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indexed="64"/>
      </left>
      <right style="hair">
        <color theme="7" tint="-0.499984740745262"/>
      </right>
      <top style="hair">
        <color theme="7" tint="-0.499984740745262"/>
      </top>
      <bottom style="medium">
        <color theme="4" tint="-0.249977111117893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 style="hair">
        <color theme="4" tint="-0.249977111117893"/>
      </left>
      <right/>
      <top style="medium">
        <color indexed="64"/>
      </top>
      <bottom style="hair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4" tint="-0.249977111117893"/>
      </left>
      <right/>
      <top/>
      <bottom style="medium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 style="hair">
        <color rgb="FFFF0000"/>
      </bottom>
      <diagonal/>
    </border>
    <border>
      <left style="medium">
        <color indexed="64"/>
      </left>
      <right/>
      <top style="hair">
        <color theme="4" tint="-0.249977111117893"/>
      </top>
      <bottom style="hair">
        <color theme="4" tint="-0.249977111117893"/>
      </bottom>
      <diagonal/>
    </border>
    <border>
      <left style="medium">
        <color indexed="64"/>
      </left>
      <right/>
      <top style="hair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FF0000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8" fontId="3" fillId="3" borderId="1"/>
    <xf numFmtId="168" fontId="4" fillId="0" borderId="0"/>
    <xf numFmtId="168" fontId="2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70" fontId="6" fillId="0" borderId="0"/>
    <xf numFmtId="0" fontId="65" fillId="0" borderId="0" applyNumberFormat="0" applyFill="0" applyBorder="0" applyAlignment="0" applyProtection="0"/>
  </cellStyleXfs>
  <cellXfs count="505">
    <xf numFmtId="0" fontId="0" fillId="0" borderId="0" xfId="0"/>
    <xf numFmtId="168" fontId="7" fillId="5" borderId="0" xfId="4" applyFont="1" applyFill="1" applyBorder="1" applyAlignment="1">
      <alignment horizontal="center" vertical="center"/>
    </xf>
    <xf numFmtId="165" fontId="2" fillId="5" borderId="0" xfId="4" applyNumberFormat="1" applyFill="1" applyBorder="1"/>
    <xf numFmtId="168" fontId="2" fillId="5" borderId="0" xfId="4" applyFill="1" applyBorder="1"/>
    <xf numFmtId="168" fontId="2" fillId="0" borderId="0" xfId="4"/>
    <xf numFmtId="168" fontId="10" fillId="5" borderId="0" xfId="4" applyFont="1" applyFill="1" applyBorder="1" applyAlignment="1">
      <alignment horizontal="center" vertical="center"/>
    </xf>
    <xf numFmtId="168" fontId="2" fillId="5" borderId="0" xfId="4" applyFill="1"/>
    <xf numFmtId="165" fontId="10" fillId="5" borderId="0" xfId="4" applyNumberFormat="1" applyFont="1" applyFill="1" applyBorder="1" applyAlignment="1">
      <alignment horizontal="center" vertical="center"/>
    </xf>
    <xf numFmtId="167" fontId="10" fillId="5" borderId="0" xfId="4" applyNumberFormat="1" applyFont="1" applyFill="1" applyBorder="1" applyAlignment="1">
      <alignment horizontal="center" vertical="center"/>
    </xf>
    <xf numFmtId="168" fontId="30" fillId="5" borderId="0" xfId="4" applyFont="1" applyFill="1" applyBorder="1"/>
    <xf numFmtId="168" fontId="30" fillId="5" borderId="0" xfId="4" applyFont="1" applyFill="1" applyBorder="1" applyAlignment="1">
      <alignment horizontal="center" vertical="center"/>
    </xf>
    <xf numFmtId="168" fontId="30" fillId="5" borderId="0" xfId="4" applyFont="1" applyFill="1"/>
    <xf numFmtId="168" fontId="24" fillId="5" borderId="0" xfId="4" applyFont="1" applyFill="1" applyBorder="1" applyAlignment="1">
      <alignment horizontal="center" vertical="center"/>
    </xf>
    <xf numFmtId="164" fontId="7" fillId="5" borderId="0" xfId="4" applyNumberFormat="1" applyFont="1" applyFill="1" applyBorder="1" applyAlignment="1">
      <alignment horizontal="center" vertical="center"/>
    </xf>
    <xf numFmtId="166" fontId="24" fillId="5" borderId="0" xfId="4" applyNumberFormat="1" applyFont="1" applyFill="1" applyBorder="1" applyAlignment="1">
      <alignment horizontal="right" vertical="center"/>
    </xf>
    <xf numFmtId="166" fontId="8" fillId="5" borderId="0" xfId="4" applyNumberFormat="1" applyFont="1" applyFill="1" applyBorder="1" applyAlignment="1">
      <alignment horizontal="right" vertical="center"/>
    </xf>
    <xf numFmtId="168" fontId="2" fillId="0" borderId="0" xfId="4" applyBorder="1"/>
    <xf numFmtId="168" fontId="2" fillId="18" borderId="0" xfId="4" applyFill="1" applyBorder="1"/>
    <xf numFmtId="168" fontId="27" fillId="15" borderId="0" xfId="4" applyFont="1" applyFill="1"/>
    <xf numFmtId="168" fontId="2" fillId="15" borderId="0" xfId="4" applyFill="1"/>
    <xf numFmtId="168" fontId="29" fillId="15" borderId="0" xfId="4" applyFont="1" applyFill="1" applyAlignment="1">
      <alignment horizontal="left" vertical="center" indent="1"/>
    </xf>
    <xf numFmtId="168" fontId="10" fillId="15" borderId="0" xfId="4" applyFont="1" applyFill="1"/>
    <xf numFmtId="168" fontId="39" fillId="0" borderId="0" xfId="4" applyFont="1" applyBorder="1"/>
    <xf numFmtId="168" fontId="32" fillId="20" borderId="0" xfId="4" applyFont="1" applyFill="1" applyBorder="1"/>
    <xf numFmtId="168" fontId="11" fillId="18" borderId="0" xfId="4" applyFont="1" applyFill="1" applyBorder="1" applyAlignment="1">
      <alignment horizontal="center" vertical="center"/>
    </xf>
    <xf numFmtId="168" fontId="15" fillId="18" borderId="0" xfId="4" applyFont="1" applyFill="1" applyBorder="1"/>
    <xf numFmtId="165" fontId="10" fillId="18" borderId="0" xfId="4" applyNumberFormat="1" applyFont="1" applyFill="1" applyBorder="1" applyAlignment="1">
      <alignment horizontal="center" vertical="center"/>
    </xf>
    <xf numFmtId="0" fontId="0" fillId="19" borderId="0" xfId="0" applyFill="1" applyBorder="1"/>
    <xf numFmtId="164" fontId="11" fillId="14" borderId="0" xfId="4" applyNumberFormat="1" applyFont="1" applyFill="1" applyBorder="1" applyAlignment="1">
      <alignment horizontal="center" vertical="center"/>
    </xf>
    <xf numFmtId="165" fontId="11" fillId="21" borderId="0" xfId="4" applyNumberFormat="1" applyFont="1" applyFill="1" applyBorder="1" applyAlignment="1">
      <alignment horizontal="center" vertical="center"/>
    </xf>
    <xf numFmtId="164" fontId="13" fillId="33" borderId="0" xfId="4" applyNumberFormat="1" applyFont="1" applyFill="1" applyBorder="1" applyAlignment="1">
      <alignment horizontal="center"/>
    </xf>
    <xf numFmtId="169" fontId="22" fillId="18" borderId="0" xfId="4" applyNumberFormat="1" applyFont="1" applyFill="1" applyBorder="1" applyAlignment="1">
      <alignment horizontal="center" vertical="center"/>
    </xf>
    <xf numFmtId="171" fontId="37" fillId="22" borderId="0" xfId="2" applyNumberFormat="1" applyFont="1" applyFill="1" applyBorder="1" applyAlignment="1" applyProtection="1"/>
    <xf numFmtId="1" fontId="10" fillId="14" borderId="0" xfId="4" applyNumberFormat="1" applyFont="1" applyFill="1" applyBorder="1" applyAlignment="1">
      <alignment horizontal="center"/>
    </xf>
    <xf numFmtId="168" fontId="36" fillId="0" borderId="0" xfId="4" applyFont="1"/>
    <xf numFmtId="49" fontId="43" fillId="5" borderId="0" xfId="4" applyNumberFormat="1" applyFont="1" applyFill="1" applyBorder="1" applyAlignment="1">
      <alignment horizontal="right" vertical="center"/>
    </xf>
    <xf numFmtId="168" fontId="64" fillId="0" borderId="0" xfId="4" applyFont="1"/>
    <xf numFmtId="168" fontId="54" fillId="42" borderId="14" xfId="4" applyFont="1" applyFill="1" applyBorder="1" applyAlignment="1">
      <alignment horizontal="center" vertical="center"/>
    </xf>
    <xf numFmtId="164" fontId="19" fillId="9" borderId="25" xfId="4" applyNumberFormat="1" applyFont="1" applyFill="1" applyBorder="1" applyAlignment="1">
      <alignment horizontal="center" vertical="center"/>
    </xf>
    <xf numFmtId="165" fontId="22" fillId="3" borderId="12" xfId="4" applyNumberFormat="1" applyFont="1" applyFill="1" applyBorder="1"/>
    <xf numFmtId="164" fontId="41" fillId="37" borderId="10" xfId="4" applyNumberFormat="1" applyFont="1" applyFill="1" applyBorder="1" applyAlignment="1">
      <alignment horizontal="center" vertical="center"/>
    </xf>
    <xf numFmtId="164" fontId="19" fillId="9" borderId="28" xfId="4" applyNumberFormat="1" applyFont="1" applyFill="1" applyBorder="1" applyAlignment="1">
      <alignment horizontal="center" vertical="center"/>
    </xf>
    <xf numFmtId="168" fontId="41" fillId="13" borderId="10" xfId="4" applyFont="1" applyFill="1" applyBorder="1" applyAlignment="1">
      <alignment horizontal="center" vertical="center"/>
    </xf>
    <xf numFmtId="165" fontId="41" fillId="14" borderId="10" xfId="4" applyNumberFormat="1" applyFont="1" applyFill="1" applyBorder="1" applyAlignment="1">
      <alignment horizontal="center" vertical="center"/>
    </xf>
    <xf numFmtId="165" fontId="8" fillId="50" borderId="0" xfId="4" applyNumberFormat="1" applyFont="1" applyFill="1" applyBorder="1" applyAlignment="1">
      <alignment vertical="center"/>
    </xf>
    <xf numFmtId="4" fontId="23" fillId="39" borderId="0" xfId="4" applyNumberFormat="1" applyFont="1" applyFill="1" applyBorder="1" applyAlignment="1">
      <alignment horizontal="right" vertical="center"/>
    </xf>
    <xf numFmtId="165" fontId="28" fillId="51" borderId="0" xfId="4" applyNumberFormat="1" applyFont="1" applyFill="1" applyBorder="1" applyAlignment="1">
      <alignment horizontal="left" vertical="center"/>
    </xf>
    <xf numFmtId="1" fontId="10" fillId="9" borderId="22" xfId="4" applyNumberFormat="1" applyFont="1" applyFill="1" applyBorder="1" applyAlignment="1">
      <alignment horizontal="center"/>
    </xf>
    <xf numFmtId="168" fontId="2" fillId="15" borderId="0" xfId="4" applyFill="1" applyAlignment="1">
      <alignment horizontal="center" vertical="center"/>
    </xf>
    <xf numFmtId="168" fontId="67" fillId="0" borderId="33" xfId="4" applyFont="1" applyBorder="1" applyAlignment="1">
      <alignment horizontal="right"/>
    </xf>
    <xf numFmtId="168" fontId="64" fillId="0" borderId="34" xfId="4" applyFont="1" applyBorder="1" applyAlignment="1">
      <alignment horizontal="center" vertical="center"/>
    </xf>
    <xf numFmtId="3" fontId="61" fillId="54" borderId="10" xfId="4" applyNumberFormat="1" applyFont="1" applyFill="1" applyBorder="1" applyAlignment="1">
      <alignment horizontal="center" vertical="center"/>
    </xf>
    <xf numFmtId="168" fontId="51" fillId="34" borderId="39" xfId="4" applyFont="1" applyFill="1" applyBorder="1" applyAlignment="1">
      <alignment horizontal="center" vertical="center"/>
    </xf>
    <xf numFmtId="164" fontId="26" fillId="7" borderId="10" xfId="4" applyNumberFormat="1" applyFont="1" applyFill="1" applyBorder="1" applyAlignment="1">
      <alignment horizontal="left" vertical="center"/>
    </xf>
    <xf numFmtId="164" fontId="44" fillId="7" borderId="10" xfId="4" applyNumberFormat="1" applyFont="1" applyFill="1" applyBorder="1" applyAlignment="1">
      <alignment horizontal="left" vertical="center"/>
    </xf>
    <xf numFmtId="166" fontId="77" fillId="3" borderId="13" xfId="2" applyNumberFormat="1" applyFont="1" applyBorder="1" applyAlignment="1" applyProtection="1">
      <alignment vertical="center"/>
    </xf>
    <xf numFmtId="165" fontId="7" fillId="10" borderId="43" xfId="4" applyNumberFormat="1" applyFont="1" applyFill="1" applyBorder="1" applyAlignment="1">
      <alignment horizontal="center" vertical="center"/>
    </xf>
    <xf numFmtId="165" fontId="57" fillId="2" borderId="44" xfId="4" applyNumberFormat="1" applyFont="1" applyFill="1" applyBorder="1" applyAlignment="1">
      <alignment horizontal="right" vertical="center"/>
    </xf>
    <xf numFmtId="165" fontId="7" fillId="10" borderId="45" xfId="4" applyNumberFormat="1" applyFont="1" applyFill="1" applyBorder="1" applyAlignment="1">
      <alignment horizontal="center" vertical="center"/>
    </xf>
    <xf numFmtId="168" fontId="82" fillId="5" borderId="0" xfId="4" applyFont="1" applyFill="1" applyBorder="1" applyAlignment="1">
      <alignment horizontal="center" vertical="center"/>
    </xf>
    <xf numFmtId="168" fontId="82" fillId="5" borderId="0" xfId="4" applyFont="1" applyFill="1"/>
    <xf numFmtId="0" fontId="20" fillId="0" borderId="0" xfId="0" applyFont="1"/>
    <xf numFmtId="165" fontId="22" fillId="3" borderId="12" xfId="4" applyNumberFormat="1" applyFont="1" applyFill="1" applyBorder="1" applyAlignment="1">
      <alignment horizontal="center" vertical="center"/>
    </xf>
    <xf numFmtId="0" fontId="20" fillId="19" borderId="0" xfId="0" applyFont="1" applyFill="1" applyBorder="1"/>
    <xf numFmtId="167" fontId="36" fillId="0" borderId="0" xfId="4" applyNumberFormat="1" applyFont="1"/>
    <xf numFmtId="164" fontId="84" fillId="57" borderId="34" xfId="4" applyNumberFormat="1" applyFont="1" applyFill="1" applyBorder="1" applyAlignment="1">
      <alignment horizontal="center" vertical="center"/>
    </xf>
    <xf numFmtId="164" fontId="56" fillId="32" borderId="53" xfId="4" applyNumberFormat="1" applyFont="1" applyFill="1" applyBorder="1" applyAlignment="1">
      <alignment horizontal="center" vertical="center"/>
    </xf>
    <xf numFmtId="169" fontId="51" fillId="34" borderId="53" xfId="4" applyNumberFormat="1" applyFont="1" applyFill="1" applyBorder="1" applyAlignment="1">
      <alignment horizontal="center" vertical="center"/>
    </xf>
    <xf numFmtId="0" fontId="87" fillId="40" borderId="67" xfId="0" applyFont="1" applyFill="1" applyBorder="1" applyAlignment="1">
      <alignment horizontal="center" vertical="center"/>
    </xf>
    <xf numFmtId="3" fontId="35" fillId="35" borderId="32" xfId="4" applyNumberFormat="1" applyFont="1" applyFill="1" applyBorder="1" applyAlignment="1">
      <alignment horizontal="center" vertical="center"/>
    </xf>
    <xf numFmtId="168" fontId="51" fillId="41" borderId="56" xfId="4" applyFont="1" applyFill="1" applyBorder="1" applyAlignment="1">
      <alignment horizontal="center" vertical="center"/>
    </xf>
    <xf numFmtId="168" fontId="51" fillId="41" borderId="32" xfId="4" applyFont="1" applyFill="1" applyBorder="1" applyAlignment="1">
      <alignment horizontal="center" vertical="center"/>
    </xf>
    <xf numFmtId="168" fontId="35" fillId="61" borderId="68" xfId="4" applyFont="1" applyFill="1" applyBorder="1" applyAlignment="1">
      <alignment horizontal="center" vertical="center"/>
    </xf>
    <xf numFmtId="171" fontId="72" fillId="22" borderId="0" xfId="9" applyNumberFormat="1" applyFont="1" applyFill="1" applyBorder="1" applyAlignment="1" applyProtection="1">
      <alignment horizontal="left" vertical="center"/>
    </xf>
    <xf numFmtId="3" fontId="10" fillId="9" borderId="31" xfId="4" applyNumberFormat="1" applyFont="1" applyFill="1" applyBorder="1" applyAlignment="1">
      <alignment horizontal="center"/>
    </xf>
    <xf numFmtId="168" fontId="63" fillId="30" borderId="71" xfId="4" applyFont="1" applyFill="1" applyBorder="1" applyAlignment="1">
      <alignment horizontal="center" vertical="center"/>
    </xf>
    <xf numFmtId="168" fontId="51" fillId="47" borderId="73" xfId="4" applyFont="1" applyFill="1" applyBorder="1" applyAlignment="1">
      <alignment horizontal="center" vertical="center"/>
    </xf>
    <xf numFmtId="168" fontId="51" fillId="47" borderId="74" xfId="4" applyFont="1" applyFill="1" applyBorder="1" applyAlignment="1">
      <alignment horizontal="center" vertical="center"/>
    </xf>
    <xf numFmtId="0" fontId="91" fillId="0" borderId="0" xfId="0" applyFont="1"/>
    <xf numFmtId="168" fontId="54" fillId="62" borderId="0" xfId="4" applyFont="1" applyFill="1" applyAlignment="1">
      <alignment vertical="center"/>
    </xf>
    <xf numFmtId="168" fontId="31" fillId="30" borderId="75" xfId="4" applyFont="1" applyFill="1" applyBorder="1" applyAlignment="1">
      <alignment horizontal="left" vertical="center"/>
    </xf>
    <xf numFmtId="164" fontId="10" fillId="15" borderId="18" xfId="4" applyNumberFormat="1" applyFont="1" applyFill="1" applyBorder="1" applyAlignment="1">
      <alignment horizontal="center" vertical="center"/>
    </xf>
    <xf numFmtId="168" fontId="64" fillId="0" borderId="76" xfId="4" applyFont="1" applyBorder="1" applyAlignment="1">
      <alignment horizontal="center" vertical="center"/>
    </xf>
    <xf numFmtId="168" fontId="61" fillId="38" borderId="18" xfId="4" applyFont="1" applyFill="1" applyBorder="1" applyAlignment="1">
      <alignment horizontal="center" vertical="center"/>
    </xf>
    <xf numFmtId="168" fontId="64" fillId="0" borderId="77" xfId="4" applyFont="1" applyBorder="1" applyAlignment="1">
      <alignment horizontal="center" vertical="center"/>
    </xf>
    <xf numFmtId="164" fontId="65" fillId="33" borderId="0" xfId="9" applyNumberFormat="1" applyFill="1" applyBorder="1" applyAlignment="1">
      <alignment horizontal="center"/>
    </xf>
    <xf numFmtId="164" fontId="41" fillId="24" borderId="88" xfId="4" applyNumberFormat="1" applyFont="1" applyFill="1" applyBorder="1" applyAlignment="1">
      <alignment horizontal="center" vertical="center"/>
    </xf>
    <xf numFmtId="164" fontId="41" fillId="24" borderId="89" xfId="4" applyNumberFormat="1" applyFont="1" applyFill="1" applyBorder="1" applyAlignment="1">
      <alignment horizontal="center" vertical="center"/>
    </xf>
    <xf numFmtId="168" fontId="51" fillId="47" borderId="91" xfId="4" applyFont="1" applyFill="1" applyBorder="1" applyAlignment="1">
      <alignment horizontal="center" vertical="center"/>
    </xf>
    <xf numFmtId="168" fontId="52" fillId="55" borderId="75" xfId="4" applyFont="1" applyFill="1" applyBorder="1" applyAlignment="1">
      <alignment horizontal="left" vertical="top" wrapText="1"/>
    </xf>
    <xf numFmtId="168" fontId="10" fillId="11" borderId="92" xfId="4" applyFont="1" applyFill="1" applyBorder="1" applyAlignment="1">
      <alignment horizontal="center" vertical="center"/>
    </xf>
    <xf numFmtId="168" fontId="61" fillId="38" borderId="16" xfId="4" applyFont="1" applyFill="1" applyBorder="1" applyAlignment="1">
      <alignment horizontal="center" vertical="center"/>
    </xf>
    <xf numFmtId="168" fontId="21" fillId="11" borderId="14" xfId="4" applyFont="1" applyFill="1" applyBorder="1" applyAlignment="1">
      <alignment horizontal="center" vertical="center"/>
    </xf>
    <xf numFmtId="165" fontId="7" fillId="10" borderId="93" xfId="4" applyNumberFormat="1" applyFont="1" applyFill="1" applyBorder="1" applyAlignment="1">
      <alignment horizontal="center" vertical="center"/>
    </xf>
    <xf numFmtId="3" fontId="23" fillId="2" borderId="94" xfId="4" applyNumberFormat="1" applyFont="1" applyFill="1" applyBorder="1" applyAlignment="1">
      <alignment horizontal="right" vertical="center"/>
    </xf>
    <xf numFmtId="165" fontId="7" fillId="10" borderId="95" xfId="4" applyNumberFormat="1" applyFont="1" applyFill="1" applyBorder="1" applyAlignment="1">
      <alignment horizontal="center" vertical="center"/>
    </xf>
    <xf numFmtId="165" fontId="7" fillId="10" borderId="96" xfId="4" applyNumberFormat="1" applyFont="1" applyFill="1" applyBorder="1" applyAlignment="1">
      <alignment horizontal="center" vertical="center"/>
    </xf>
    <xf numFmtId="166" fontId="77" fillId="3" borderId="100" xfId="2" applyNumberFormat="1" applyFont="1" applyBorder="1" applyAlignment="1" applyProtection="1">
      <alignment vertical="center"/>
    </xf>
    <xf numFmtId="168" fontId="40" fillId="0" borderId="0" xfId="4" applyFont="1" applyBorder="1" applyAlignment="1">
      <alignment horizontal="left"/>
    </xf>
    <xf numFmtId="168" fontId="93" fillId="19" borderId="0" xfId="4" applyFont="1" applyFill="1" applyBorder="1" applyAlignment="1">
      <alignment horizontal="center" vertical="center"/>
    </xf>
    <xf numFmtId="168" fontId="94" fillId="19" borderId="0" xfId="4" applyFont="1" applyFill="1" applyBorder="1" applyAlignment="1">
      <alignment horizontal="center" vertical="center"/>
    </xf>
    <xf numFmtId="168" fontId="95" fillId="19" borderId="0" xfId="4" applyFont="1" applyFill="1" applyBorder="1" applyAlignment="1">
      <alignment horizontal="center" vertical="center"/>
    </xf>
    <xf numFmtId="168" fontId="2" fillId="5" borderId="0" xfId="4" applyFill="1" applyBorder="1" applyAlignment="1">
      <alignment horizontal="center" vertical="center"/>
    </xf>
    <xf numFmtId="168" fontId="2" fillId="0" borderId="0" xfId="4" applyAlignment="1">
      <alignment horizontal="center" vertical="center"/>
    </xf>
    <xf numFmtId="165" fontId="2" fillId="5" borderId="0" xfId="4" applyNumberFormat="1" applyFill="1" applyBorder="1" applyAlignment="1">
      <alignment horizontal="center" vertical="center"/>
    </xf>
    <xf numFmtId="168" fontId="2" fillId="5" borderId="0" xfId="4" applyFill="1" applyAlignment="1">
      <alignment horizontal="center" vertical="center"/>
    </xf>
    <xf numFmtId="168" fontId="30" fillId="5" borderId="0" xfId="4" applyFont="1" applyFill="1" applyAlignment="1">
      <alignment horizontal="center" vertical="center"/>
    </xf>
    <xf numFmtId="168" fontId="36" fillId="0" borderId="0" xfId="4" applyFont="1" applyAlignment="1">
      <alignment horizontal="center" vertical="center"/>
    </xf>
    <xf numFmtId="168" fontId="2" fillId="0" borderId="0" xfId="4" applyAlignment="1">
      <alignment horizontal="right" vertical="center"/>
    </xf>
    <xf numFmtId="168" fontId="2" fillId="5" borderId="0" xfId="4" applyFill="1" applyAlignment="1">
      <alignment horizontal="right" vertical="center"/>
    </xf>
    <xf numFmtId="168" fontId="2" fillId="18" borderId="0" xfId="4" applyFill="1" applyBorder="1" applyAlignment="1">
      <alignment horizontal="right" vertical="center"/>
    </xf>
    <xf numFmtId="168" fontId="82" fillId="5" borderId="0" xfId="4" applyFont="1" applyFill="1" applyAlignment="1">
      <alignment horizontal="right" vertical="center"/>
    </xf>
    <xf numFmtId="168" fontId="36" fillId="0" borderId="0" xfId="4" applyFont="1" applyAlignment="1">
      <alignment horizontal="right" vertical="center"/>
    </xf>
    <xf numFmtId="168" fontId="30" fillId="5" borderId="0" xfId="4" applyFont="1" applyFill="1" applyAlignment="1">
      <alignment horizontal="right" vertical="center"/>
    </xf>
    <xf numFmtId="164" fontId="13" fillId="5" borderId="0" xfId="4" applyNumberFormat="1" applyFont="1" applyFill="1" applyBorder="1" applyAlignment="1">
      <alignment horizontal="center" vertical="center"/>
    </xf>
    <xf numFmtId="164" fontId="14" fillId="5" borderId="0" xfId="4" applyNumberFormat="1" applyFont="1" applyFill="1" applyBorder="1" applyAlignment="1">
      <alignment horizontal="center" vertical="center"/>
    </xf>
    <xf numFmtId="164" fontId="41" fillId="5" borderId="0" xfId="4" applyNumberFormat="1" applyFont="1" applyFill="1" applyBorder="1" applyAlignment="1">
      <alignment horizontal="center" vertical="center"/>
    </xf>
    <xf numFmtId="164" fontId="13" fillId="18" borderId="0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19" borderId="0" xfId="4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168" fontId="93" fillId="5" borderId="0" xfId="4" applyFont="1" applyFill="1" applyAlignment="1">
      <alignment horizontal="center" vertical="center"/>
    </xf>
    <xf numFmtId="168" fontId="93" fillId="5" borderId="0" xfId="4" applyFont="1" applyFill="1" applyBorder="1" applyAlignment="1">
      <alignment horizontal="center" vertical="center"/>
    </xf>
    <xf numFmtId="168" fontId="93" fillId="0" borderId="0" xfId="4" applyFont="1" applyAlignment="1">
      <alignment horizontal="center" vertical="center"/>
    </xf>
    <xf numFmtId="168" fontId="93" fillId="0" borderId="0" xfId="4" applyFont="1" applyAlignment="1">
      <alignment horizontal="right" vertical="center"/>
    </xf>
    <xf numFmtId="168" fontId="93" fillId="0" borderId="0" xfId="4" applyFont="1"/>
    <xf numFmtId="168" fontId="93" fillId="5" borderId="0" xfId="4" applyFont="1" applyFill="1" applyBorder="1"/>
    <xf numFmtId="168" fontId="93" fillId="18" borderId="0" xfId="4" applyFont="1" applyFill="1" applyBorder="1" applyAlignment="1">
      <alignment horizontal="center" vertical="center"/>
    </xf>
    <xf numFmtId="168" fontId="93" fillId="5" borderId="0" xfId="4" applyFont="1" applyFill="1" applyAlignment="1">
      <alignment horizontal="center"/>
    </xf>
    <xf numFmtId="168" fontId="93" fillId="0" borderId="0" xfId="4" applyFont="1" applyAlignment="1">
      <alignment horizontal="center"/>
    </xf>
    <xf numFmtId="168" fontId="93" fillId="5" borderId="0" xfId="4" applyFont="1" applyFill="1" applyBorder="1" applyAlignment="1">
      <alignment horizontal="center"/>
    </xf>
    <xf numFmtId="168" fontId="64" fillId="0" borderId="0" xfId="4" applyFont="1" applyAlignment="1">
      <alignment horizontal="center" vertical="center"/>
    </xf>
    <xf numFmtId="165" fontId="28" fillId="8" borderId="103" xfId="4" applyNumberFormat="1" applyFont="1" applyFill="1" applyBorder="1" applyAlignment="1">
      <alignment horizontal="left" vertical="center"/>
    </xf>
    <xf numFmtId="165" fontId="28" fillId="8" borderId="104" xfId="4" applyNumberFormat="1" applyFont="1" applyFill="1" applyBorder="1" applyAlignment="1">
      <alignment horizontal="left" vertical="center"/>
    </xf>
    <xf numFmtId="3" fontId="57" fillId="39" borderId="0" xfId="4" applyNumberFormat="1" applyFont="1" applyFill="1" applyBorder="1" applyAlignment="1">
      <alignment horizontal="center" vertical="center"/>
    </xf>
    <xf numFmtId="168" fontId="80" fillId="15" borderId="0" xfId="4" applyFont="1" applyFill="1" applyBorder="1"/>
    <xf numFmtId="168" fontId="64" fillId="15" borderId="0" xfId="4" applyFont="1" applyFill="1" applyBorder="1" applyAlignment="1">
      <alignment horizontal="center" vertical="center"/>
    </xf>
    <xf numFmtId="3" fontId="57" fillId="53" borderId="103" xfId="4" applyNumberFormat="1" applyFont="1" applyFill="1" applyBorder="1" applyAlignment="1">
      <alignment horizontal="center" vertical="center"/>
    </xf>
    <xf numFmtId="165" fontId="57" fillId="2" borderId="106" xfId="4" applyNumberFormat="1" applyFont="1" applyFill="1" applyBorder="1" applyAlignment="1">
      <alignment horizontal="right" vertical="center"/>
    </xf>
    <xf numFmtId="168" fontId="54" fillId="42" borderId="107" xfId="4" applyFont="1" applyFill="1" applyBorder="1" applyAlignment="1">
      <alignment horizontal="center" vertical="center"/>
    </xf>
    <xf numFmtId="168" fontId="54" fillId="42" borderId="0" xfId="4" applyFont="1" applyFill="1" applyBorder="1" applyAlignment="1">
      <alignment horizontal="center" vertical="center"/>
    </xf>
    <xf numFmtId="164" fontId="44" fillId="7" borderId="21" xfId="4" applyNumberFormat="1" applyFont="1" applyFill="1" applyBorder="1" applyAlignment="1">
      <alignment horizontal="center" vertical="center"/>
    </xf>
    <xf numFmtId="168" fontId="40" fillId="0" borderId="2" xfId="4" applyFont="1" applyBorder="1" applyAlignment="1">
      <alignment horizontal="left"/>
    </xf>
    <xf numFmtId="164" fontId="10" fillId="15" borderId="14" xfId="4" applyNumberFormat="1" applyFont="1" applyFill="1" applyBorder="1" applyAlignment="1">
      <alignment horizontal="center" vertical="center"/>
    </xf>
    <xf numFmtId="165" fontId="10" fillId="15" borderId="109" xfId="4" applyNumberFormat="1" applyFont="1" applyFill="1" applyBorder="1" applyAlignment="1">
      <alignment horizontal="center" vertical="center"/>
    </xf>
    <xf numFmtId="165" fontId="7" fillId="10" borderId="110" xfId="4" applyNumberFormat="1" applyFont="1" applyFill="1" applyBorder="1" applyAlignment="1">
      <alignment horizontal="right" vertical="center"/>
    </xf>
    <xf numFmtId="3" fontId="23" fillId="2" borderId="111" xfId="4" applyNumberFormat="1" applyFont="1" applyFill="1" applyBorder="1" applyAlignment="1">
      <alignment horizontal="right" vertical="center"/>
    </xf>
    <xf numFmtId="165" fontId="7" fillId="10" borderId="112" xfId="4" applyNumberFormat="1" applyFont="1" applyFill="1" applyBorder="1" applyAlignment="1">
      <alignment horizontal="center" vertical="center"/>
    </xf>
    <xf numFmtId="165" fontId="7" fillId="10" borderId="109" xfId="4" applyNumberFormat="1" applyFont="1" applyFill="1" applyBorder="1" applyAlignment="1">
      <alignment horizontal="center" vertical="center"/>
    </xf>
    <xf numFmtId="165" fontId="7" fillId="10" borderId="113" xfId="4" applyNumberFormat="1" applyFont="1" applyFill="1" applyBorder="1" applyAlignment="1">
      <alignment horizontal="center" vertical="center"/>
    </xf>
    <xf numFmtId="165" fontId="22" fillId="3" borderId="115" xfId="4" applyNumberFormat="1" applyFont="1" applyFill="1" applyBorder="1"/>
    <xf numFmtId="164" fontId="41" fillId="37" borderId="56" xfId="4" applyNumberFormat="1" applyFont="1" applyFill="1" applyBorder="1" applyAlignment="1">
      <alignment horizontal="center" vertical="center"/>
    </xf>
    <xf numFmtId="164" fontId="41" fillId="37" borderId="120" xfId="4" applyNumberFormat="1" applyFont="1" applyFill="1" applyBorder="1" applyAlignment="1">
      <alignment horizontal="center" vertical="center"/>
    </xf>
    <xf numFmtId="49" fontId="2" fillId="0" borderId="0" xfId="4" applyNumberFormat="1" applyAlignment="1">
      <alignment horizontal="center" vertical="center"/>
    </xf>
    <xf numFmtId="168" fontId="0" fillId="0" borderId="0" xfId="0" applyNumberFormat="1"/>
    <xf numFmtId="168" fontId="72" fillId="0" borderId="0" xfId="9" applyNumberFormat="1" applyFont="1"/>
    <xf numFmtId="3" fontId="100" fillId="22" borderId="59" xfId="4" applyNumberFormat="1" applyFont="1" applyFill="1" applyBorder="1" applyAlignment="1">
      <alignment horizontal="center" vertical="center" wrapText="1"/>
    </xf>
    <xf numFmtId="168" fontId="51" fillId="34" borderId="128" xfId="4" applyFont="1" applyFill="1" applyBorder="1" applyAlignment="1">
      <alignment horizontal="center" vertical="center"/>
    </xf>
    <xf numFmtId="168" fontId="51" fillId="34" borderId="129" xfId="4" applyFont="1" applyFill="1" applyBorder="1" applyAlignment="1">
      <alignment horizontal="center" vertical="center"/>
    </xf>
    <xf numFmtId="3" fontId="61" fillId="54" borderId="90" xfId="4" applyNumberFormat="1" applyFont="1" applyFill="1" applyBorder="1" applyAlignment="1">
      <alignment horizontal="center" vertical="center"/>
    </xf>
    <xf numFmtId="0" fontId="69" fillId="43" borderId="108" xfId="0" applyFont="1" applyFill="1" applyBorder="1" applyAlignment="1">
      <alignment horizontal="center" vertical="center"/>
    </xf>
    <xf numFmtId="0" fontId="46" fillId="64" borderId="138" xfId="0" applyFont="1" applyFill="1" applyBorder="1" applyAlignment="1">
      <alignment horizontal="center" vertical="center"/>
    </xf>
    <xf numFmtId="165" fontId="45" fillId="19" borderId="119" xfId="0" applyNumberFormat="1" applyFont="1" applyFill="1" applyBorder="1" applyAlignment="1">
      <alignment horizontal="center" vertical="center"/>
    </xf>
    <xf numFmtId="164" fontId="19" fillId="9" borderId="90" xfId="4" applyNumberFormat="1" applyFont="1" applyFill="1" applyBorder="1" applyAlignment="1">
      <alignment horizontal="center" vertical="center"/>
    </xf>
    <xf numFmtId="2" fontId="49" fillId="60" borderId="141" xfId="4" applyNumberFormat="1" applyFont="1" applyFill="1" applyBorder="1" applyAlignment="1">
      <alignment horizontal="center" vertical="center"/>
    </xf>
    <xf numFmtId="168" fontId="49" fillId="60" borderId="130" xfId="4" applyFont="1" applyFill="1" applyBorder="1" applyAlignment="1">
      <alignment horizontal="center" vertical="center"/>
    </xf>
    <xf numFmtId="2" fontId="49" fillId="60" borderId="130" xfId="4" applyNumberFormat="1" applyFont="1" applyFill="1" applyBorder="1" applyAlignment="1">
      <alignment horizontal="center" vertical="center"/>
    </xf>
    <xf numFmtId="0" fontId="88" fillId="40" borderId="143" xfId="0" applyFont="1" applyFill="1" applyBorder="1" applyAlignment="1">
      <alignment horizontal="center" vertical="center"/>
    </xf>
    <xf numFmtId="164" fontId="44" fillId="7" borderId="73" xfId="4" applyNumberFormat="1" applyFont="1" applyFill="1" applyBorder="1" applyAlignment="1">
      <alignment horizontal="left" vertical="center"/>
    </xf>
    <xf numFmtId="168" fontId="49" fillId="60" borderId="145" xfId="4" applyFont="1" applyFill="1" applyBorder="1" applyAlignment="1">
      <alignment horizontal="center" vertical="center"/>
    </xf>
    <xf numFmtId="169" fontId="51" fillId="34" borderId="71" xfId="4" applyNumberFormat="1" applyFont="1" applyFill="1" applyBorder="1" applyAlignment="1">
      <alignment horizontal="center" vertical="center"/>
    </xf>
    <xf numFmtId="169" fontId="55" fillId="34" borderId="72" xfId="4" applyNumberFormat="1" applyFont="1" applyFill="1" applyBorder="1" applyAlignment="1">
      <alignment horizontal="center" vertical="center"/>
    </xf>
    <xf numFmtId="169" fontId="18" fillId="2" borderId="146" xfId="4" applyNumberFormat="1" applyFont="1" applyFill="1" applyBorder="1" applyAlignment="1">
      <alignment horizontal="center" vertical="center"/>
    </xf>
    <xf numFmtId="169" fontId="21" fillId="27" borderId="72" xfId="4" applyNumberFormat="1" applyFont="1" applyFill="1" applyBorder="1" applyAlignment="1">
      <alignment horizontal="center" vertical="center"/>
    </xf>
    <xf numFmtId="169" fontId="21" fillId="27" borderId="148" xfId="4" applyNumberFormat="1" applyFont="1" applyFill="1" applyBorder="1" applyAlignment="1">
      <alignment horizontal="center" vertical="center"/>
    </xf>
    <xf numFmtId="168" fontId="58" fillId="66" borderId="60" xfId="4" applyFont="1" applyFill="1" applyBorder="1" applyAlignment="1">
      <alignment horizontal="center" vertical="center"/>
    </xf>
    <xf numFmtId="168" fontId="60" fillId="61" borderId="142" xfId="4" applyFont="1" applyFill="1" applyBorder="1" applyAlignment="1">
      <alignment horizontal="center" vertical="center"/>
    </xf>
    <xf numFmtId="168" fontId="86" fillId="54" borderId="65" xfId="4" applyFont="1" applyFill="1" applyBorder="1" applyAlignment="1">
      <alignment horizontal="center" vertical="center"/>
    </xf>
    <xf numFmtId="0" fontId="102" fillId="0" borderId="0" xfId="0" applyFont="1"/>
    <xf numFmtId="167" fontId="60" fillId="12" borderId="0" xfId="4" applyNumberFormat="1" applyFont="1" applyFill="1" applyBorder="1" applyAlignment="1">
      <alignment horizontal="center" vertical="center"/>
    </xf>
    <xf numFmtId="168" fontId="66" fillId="13" borderId="11" xfId="4" applyFont="1" applyFill="1" applyBorder="1" applyAlignment="1">
      <alignment vertical="center"/>
    </xf>
    <xf numFmtId="165" fontId="57" fillId="71" borderId="30" xfId="4" applyNumberFormat="1" applyFont="1" applyFill="1" applyBorder="1" applyAlignment="1">
      <alignment horizontal="right" vertical="center"/>
    </xf>
    <xf numFmtId="165" fontId="7" fillId="72" borderId="21" xfId="4" applyNumberFormat="1" applyFont="1" applyFill="1" applyBorder="1" applyAlignment="1">
      <alignment horizontal="center" vertical="center"/>
    </xf>
    <xf numFmtId="165" fontId="7" fillId="72" borderId="21" xfId="4" applyNumberFormat="1" applyFont="1" applyFill="1" applyBorder="1" applyAlignment="1">
      <alignment horizontal="left" vertical="center"/>
    </xf>
    <xf numFmtId="165" fontId="35" fillId="74" borderId="40" xfId="4" applyNumberFormat="1" applyFont="1" applyFill="1" applyBorder="1" applyAlignment="1">
      <alignment horizontal="center" vertical="center"/>
    </xf>
    <xf numFmtId="165" fontId="49" fillId="12" borderId="134" xfId="4" applyNumberFormat="1" applyFont="1" applyFill="1" applyBorder="1" applyAlignment="1">
      <alignment horizontal="center" vertical="center"/>
    </xf>
    <xf numFmtId="3" fontId="51" fillId="46" borderId="52" xfId="4" applyNumberFormat="1" applyFont="1" applyFill="1" applyBorder="1" applyAlignment="1">
      <alignment horizontal="center" vertical="center" wrapText="1"/>
    </xf>
    <xf numFmtId="168" fontId="2" fillId="0" borderId="107" xfId="4" applyBorder="1"/>
    <xf numFmtId="168" fontId="108" fillId="61" borderId="42" xfId="4" applyFont="1" applyFill="1" applyBorder="1" applyAlignment="1">
      <alignment horizontal="center" vertical="center"/>
    </xf>
    <xf numFmtId="167" fontId="108" fillId="61" borderId="132" xfId="4" applyNumberFormat="1" applyFont="1" applyFill="1" applyBorder="1" applyAlignment="1">
      <alignment horizontal="center" vertical="center"/>
    </xf>
    <xf numFmtId="0" fontId="101" fillId="38" borderId="131" xfId="0" applyFont="1" applyFill="1" applyBorder="1" applyAlignment="1">
      <alignment horizontal="center" vertical="center"/>
    </xf>
    <xf numFmtId="168" fontId="104" fillId="0" borderId="0" xfId="4" applyFont="1"/>
    <xf numFmtId="168" fontId="38" fillId="15" borderId="4" xfId="4" applyFont="1" applyFill="1" applyBorder="1" applyAlignment="1" applyProtection="1">
      <alignment horizontal="left" vertical="center"/>
      <protection locked="0"/>
    </xf>
    <xf numFmtId="165" fontId="9" fillId="9" borderId="41" xfId="4" applyNumberFormat="1" applyFont="1" applyFill="1" applyBorder="1" applyAlignment="1">
      <alignment horizontal="center" vertical="center"/>
    </xf>
    <xf numFmtId="168" fontId="110" fillId="58" borderId="55" xfId="4" applyFont="1" applyFill="1" applyBorder="1" applyAlignment="1">
      <alignment horizontal="center" vertical="center"/>
    </xf>
    <xf numFmtId="168" fontId="51" fillId="76" borderId="9" xfId="4" applyFont="1" applyFill="1" applyBorder="1" applyAlignment="1">
      <alignment horizontal="left" vertical="center"/>
    </xf>
    <xf numFmtId="3" fontId="57" fillId="77" borderId="0" xfId="4" applyNumberFormat="1" applyFont="1" applyFill="1" applyBorder="1" applyAlignment="1">
      <alignment horizontal="center" vertical="center"/>
    </xf>
    <xf numFmtId="168" fontId="7" fillId="13" borderId="0" xfId="4" applyFont="1" applyFill="1" applyBorder="1" applyAlignment="1" applyProtection="1">
      <alignment horizontal="center" vertical="center"/>
    </xf>
    <xf numFmtId="164" fontId="89" fillId="5" borderId="120" xfId="4" applyNumberFormat="1" applyFont="1" applyFill="1" applyBorder="1" applyAlignment="1" applyProtection="1">
      <alignment horizontal="center" vertical="center"/>
    </xf>
    <xf numFmtId="166" fontId="90" fillId="5" borderId="144" xfId="4" applyNumberFormat="1" applyFont="1" applyFill="1" applyBorder="1" applyAlignment="1" applyProtection="1">
      <alignment horizontal="center" vertical="center"/>
    </xf>
    <xf numFmtId="168" fontId="2" fillId="0" borderId="0" xfId="4" applyProtection="1">
      <protection locked="0"/>
    </xf>
    <xf numFmtId="164" fontId="19" fillId="67" borderId="58" xfId="4" applyNumberFormat="1" applyFont="1" applyFill="1" applyBorder="1" applyAlignment="1" applyProtection="1">
      <alignment horizontal="center" vertical="center"/>
    </xf>
    <xf numFmtId="168" fontId="2" fillId="0" borderId="0" xfId="4" applyAlignment="1" applyProtection="1">
      <alignment horizontal="center" vertical="center"/>
    </xf>
    <xf numFmtId="166" fontId="70" fillId="73" borderId="47" xfId="4" applyNumberFormat="1" applyFont="1" applyFill="1" applyBorder="1" applyAlignment="1" applyProtection="1">
      <alignment horizontal="right" vertical="center"/>
    </xf>
    <xf numFmtId="167" fontId="103" fillId="9" borderId="46" xfId="4" applyNumberFormat="1" applyFont="1" applyFill="1" applyBorder="1" applyAlignment="1" applyProtection="1">
      <alignment horizontal="center" vertical="center"/>
    </xf>
    <xf numFmtId="165" fontId="96" fillId="35" borderId="6" xfId="4" applyNumberFormat="1" applyFont="1" applyFill="1" applyBorder="1" applyAlignment="1" applyProtection="1">
      <alignment horizontal="right" vertical="center"/>
    </xf>
    <xf numFmtId="164" fontId="41" fillId="24" borderId="15" xfId="4" applyNumberFormat="1" applyFont="1" applyFill="1" applyBorder="1" applyAlignment="1" applyProtection="1">
      <alignment horizontal="center" vertical="center"/>
      <protection locked="0"/>
    </xf>
    <xf numFmtId="168" fontId="9" fillId="25" borderId="35" xfId="4" applyFont="1" applyFill="1" applyBorder="1" applyAlignment="1" applyProtection="1">
      <alignment horizontal="center"/>
      <protection locked="0"/>
    </xf>
    <xf numFmtId="164" fontId="45" fillId="28" borderId="79" xfId="4" applyNumberFormat="1" applyFont="1" applyFill="1" applyBorder="1" applyAlignment="1" applyProtection="1">
      <alignment horizontal="center"/>
      <protection locked="0"/>
    </xf>
    <xf numFmtId="164" fontId="41" fillId="37" borderId="6" xfId="4" applyNumberFormat="1" applyFont="1" applyFill="1" applyBorder="1" applyAlignment="1" applyProtection="1">
      <alignment horizontal="center" vertical="center"/>
      <protection locked="0"/>
    </xf>
    <xf numFmtId="168" fontId="9" fillId="25" borderId="8" xfId="4" applyFont="1" applyFill="1" applyBorder="1" applyAlignment="1" applyProtection="1">
      <alignment horizontal="center"/>
      <protection locked="0"/>
    </xf>
    <xf numFmtId="164" fontId="45" fillId="28" borderId="80" xfId="4" applyNumberFormat="1" applyFont="1" applyFill="1" applyBorder="1" applyAlignment="1" applyProtection="1">
      <alignment horizontal="center"/>
      <protection locked="0"/>
    </xf>
    <xf numFmtId="164" fontId="41" fillId="37" borderId="15" xfId="4" applyNumberFormat="1" applyFont="1" applyFill="1" applyBorder="1" applyAlignment="1" applyProtection="1">
      <alignment horizontal="center" vertical="center"/>
      <protection locked="0"/>
    </xf>
    <xf numFmtId="164" fontId="41" fillId="24" borderId="6" xfId="4" applyNumberFormat="1" applyFont="1" applyFill="1" applyBorder="1" applyAlignment="1" applyProtection="1">
      <alignment horizontal="center" vertical="center"/>
      <protection locked="0"/>
    </xf>
    <xf numFmtId="164" fontId="41" fillId="24" borderId="82" xfId="4" applyNumberFormat="1" applyFont="1" applyFill="1" applyBorder="1" applyAlignment="1" applyProtection="1">
      <alignment horizontal="center" vertical="center"/>
      <protection locked="0"/>
    </xf>
    <xf numFmtId="168" fontId="9" fillId="25" borderId="83" xfId="4" applyFont="1" applyFill="1" applyBorder="1" applyAlignment="1" applyProtection="1">
      <alignment horizontal="center"/>
      <protection locked="0"/>
    </xf>
    <xf numFmtId="164" fontId="45" fillId="28" borderId="87" xfId="4" applyNumberFormat="1" applyFont="1" applyFill="1" applyBorder="1" applyAlignment="1" applyProtection="1">
      <alignment horizontal="center"/>
      <protection locked="0"/>
    </xf>
    <xf numFmtId="49" fontId="51" fillId="47" borderId="147" xfId="4" applyNumberFormat="1" applyFont="1" applyFill="1" applyBorder="1" applyAlignment="1">
      <alignment horizontal="center" vertical="center" wrapText="1"/>
    </xf>
    <xf numFmtId="167" fontId="62" fillId="31" borderId="56" xfId="4" applyNumberFormat="1" applyFont="1" applyFill="1" applyBorder="1" applyAlignment="1">
      <alignment horizontal="center" vertical="center"/>
    </xf>
    <xf numFmtId="168" fontId="63" fillId="30" borderId="161" xfId="4" applyFont="1" applyFill="1" applyBorder="1" applyAlignment="1">
      <alignment horizontal="center" vertical="center"/>
    </xf>
    <xf numFmtId="3" fontId="62" fillId="31" borderId="162" xfId="4" applyNumberFormat="1" applyFont="1" applyFill="1" applyBorder="1" applyAlignment="1">
      <alignment horizontal="center" vertical="center"/>
    </xf>
    <xf numFmtId="3" fontId="62" fillId="31" borderId="145" xfId="4" applyNumberFormat="1" applyFont="1" applyFill="1" applyBorder="1" applyAlignment="1">
      <alignment horizontal="center" vertical="center"/>
    </xf>
    <xf numFmtId="3" fontId="57" fillId="78" borderId="44" xfId="4" applyNumberFormat="1" applyFont="1" applyFill="1" applyBorder="1" applyAlignment="1">
      <alignment horizontal="center" vertical="center"/>
    </xf>
    <xf numFmtId="168" fontId="47" fillId="23" borderId="23" xfId="4" applyFont="1" applyFill="1" applyBorder="1" applyAlignment="1" applyProtection="1">
      <alignment horizontal="center"/>
      <protection locked="0"/>
    </xf>
    <xf numFmtId="168" fontId="9" fillId="6" borderId="7" xfId="4" applyFont="1" applyFill="1" applyBorder="1" applyAlignment="1" applyProtection="1">
      <alignment horizontal="center"/>
      <protection locked="0"/>
    </xf>
    <xf numFmtId="164" fontId="12" fillId="5" borderId="70" xfId="4" applyNumberFormat="1" applyFont="1" applyFill="1" applyBorder="1" applyAlignment="1" applyProtection="1">
      <alignment horizontal="center" vertical="center"/>
      <protection locked="0"/>
    </xf>
    <xf numFmtId="164" fontId="13" fillId="49" borderId="23" xfId="4" applyNumberFormat="1" applyFont="1" applyFill="1" applyBorder="1" applyAlignment="1" applyProtection="1">
      <alignment horizontal="center"/>
      <protection locked="0"/>
    </xf>
    <xf numFmtId="168" fontId="48" fillId="29" borderId="24" xfId="4" applyFont="1" applyFill="1" applyBorder="1" applyAlignment="1" applyProtection="1">
      <alignment horizontal="center"/>
      <protection locked="0"/>
    </xf>
    <xf numFmtId="164" fontId="12" fillId="5" borderId="29" xfId="4" applyNumberFormat="1" applyFont="1" applyFill="1" applyBorder="1" applyAlignment="1" applyProtection="1">
      <alignment horizontal="center" vertical="center"/>
      <protection locked="0"/>
    </xf>
    <xf numFmtId="168" fontId="47" fillId="23" borderId="24" xfId="4" applyFont="1" applyFill="1" applyBorder="1" applyAlignment="1" applyProtection="1">
      <alignment horizontal="center"/>
      <protection locked="0"/>
    </xf>
    <xf numFmtId="168" fontId="48" fillId="29" borderId="49" xfId="4" applyFont="1" applyFill="1" applyBorder="1" applyAlignment="1" applyProtection="1">
      <alignment horizontal="center"/>
      <protection locked="0"/>
    </xf>
    <xf numFmtId="168" fontId="9" fillId="6" borderId="50" xfId="4" applyFont="1" applyFill="1" applyBorder="1" applyAlignment="1" applyProtection="1">
      <alignment horizontal="center"/>
      <protection locked="0"/>
    </xf>
    <xf numFmtId="164" fontId="12" fillId="5" borderId="51" xfId="4" applyNumberFormat="1" applyFont="1" applyFill="1" applyBorder="1" applyAlignment="1" applyProtection="1">
      <alignment horizontal="center" vertical="center"/>
      <protection locked="0"/>
    </xf>
    <xf numFmtId="1" fontId="106" fillId="18" borderId="152" xfId="4" applyNumberFormat="1" applyFont="1" applyFill="1" applyBorder="1" applyAlignment="1" applyProtection="1">
      <alignment horizontal="center" vertical="center"/>
      <protection locked="0"/>
    </xf>
    <xf numFmtId="1" fontId="10" fillId="17" borderId="61" xfId="4" applyNumberFormat="1" applyFont="1" applyFill="1" applyBorder="1" applyAlignment="1" applyProtection="1">
      <alignment horizontal="center" vertical="center"/>
      <protection locked="0"/>
    </xf>
    <xf numFmtId="1" fontId="10" fillId="17" borderId="62" xfId="4" applyNumberFormat="1" applyFont="1" applyFill="1" applyBorder="1" applyAlignment="1" applyProtection="1">
      <alignment horizontal="center" vertical="center"/>
      <protection locked="0"/>
    </xf>
    <xf numFmtId="1" fontId="75" fillId="17" borderId="66" xfId="4" applyNumberFormat="1" applyFont="1" applyFill="1" applyBorder="1" applyAlignment="1" applyProtection="1">
      <alignment horizontal="center" vertical="center"/>
      <protection locked="0"/>
    </xf>
    <xf numFmtId="167" fontId="12" fillId="17" borderId="52" xfId="4" applyNumberFormat="1" applyFont="1" applyFill="1" applyBorder="1" applyAlignment="1" applyProtection="1">
      <alignment horizontal="center" vertical="center"/>
      <protection locked="0"/>
    </xf>
    <xf numFmtId="164" fontId="43" fillId="24" borderId="12" xfId="4" applyNumberFormat="1" applyFont="1" applyFill="1" applyBorder="1" applyAlignment="1" applyProtection="1">
      <alignment horizontal="center" vertical="center"/>
      <protection locked="0"/>
    </xf>
    <xf numFmtId="164" fontId="43" fillId="24" borderId="98" xfId="4" applyNumberFormat="1" applyFont="1" applyFill="1" applyBorder="1" applyAlignment="1" applyProtection="1">
      <alignment horizontal="center" vertical="center"/>
      <protection locked="0"/>
    </xf>
    <xf numFmtId="1" fontId="60" fillId="18" borderId="133" xfId="2" applyNumberFormat="1" applyFont="1" applyFill="1" applyBorder="1" applyAlignment="1" applyProtection="1">
      <alignment horizontal="center" vertical="center"/>
      <protection locked="0"/>
    </xf>
    <xf numFmtId="3" fontId="73" fillId="16" borderId="135" xfId="4" applyNumberFormat="1" applyFont="1" applyFill="1" applyBorder="1" applyAlignment="1" applyProtection="1">
      <alignment horizontal="center" vertical="center"/>
      <protection locked="0"/>
    </xf>
    <xf numFmtId="1" fontId="74" fillId="16" borderId="54" xfId="4" applyNumberFormat="1" applyFont="1" applyFill="1" applyBorder="1" applyAlignment="1" applyProtection="1">
      <alignment horizontal="center" vertical="center"/>
      <protection locked="0"/>
    </xf>
    <xf numFmtId="165" fontId="50" fillId="16" borderId="58" xfId="4" applyNumberFormat="1" applyFont="1" applyFill="1" applyBorder="1" applyAlignment="1" applyProtection="1">
      <alignment horizontal="center" vertical="center"/>
      <protection locked="0"/>
    </xf>
    <xf numFmtId="1" fontId="49" fillId="19" borderId="136" xfId="4" applyNumberFormat="1" applyFont="1" applyFill="1" applyBorder="1" applyAlignment="1" applyProtection="1">
      <alignment horizontal="center" vertical="center"/>
      <protection locked="0"/>
    </xf>
    <xf numFmtId="165" fontId="68" fillId="19" borderId="115" xfId="0" applyNumberFormat="1" applyFont="1" applyFill="1" applyBorder="1" applyAlignment="1" applyProtection="1">
      <alignment horizontal="center" vertical="center"/>
      <protection locked="0"/>
    </xf>
    <xf numFmtId="1" fontId="68" fillId="19" borderId="138" xfId="0" applyNumberFormat="1" applyFont="1" applyFill="1" applyBorder="1" applyAlignment="1" applyProtection="1">
      <alignment horizontal="center" vertical="center"/>
      <protection locked="0"/>
    </xf>
    <xf numFmtId="168" fontId="45" fillId="15" borderId="16" xfId="4" applyFont="1" applyFill="1" applyBorder="1" applyAlignment="1" applyProtection="1">
      <alignment horizontal="center" vertical="center"/>
      <protection locked="0"/>
    </xf>
    <xf numFmtId="168" fontId="45" fillId="15" borderId="17" xfId="4" applyFont="1" applyFill="1" applyBorder="1" applyAlignment="1" applyProtection="1">
      <alignment horizontal="center" vertical="center"/>
      <protection locked="0"/>
    </xf>
    <xf numFmtId="168" fontId="10" fillId="26" borderId="36" xfId="4" applyFont="1" applyFill="1" applyBorder="1" applyAlignment="1" applyProtection="1">
      <alignment horizontal="center" vertical="center"/>
    </xf>
    <xf numFmtId="164" fontId="12" fillId="27" borderId="37" xfId="4" applyNumberFormat="1" applyFont="1" applyFill="1" applyBorder="1" applyAlignment="1" applyProtection="1">
      <alignment horizontal="center" vertical="center"/>
    </xf>
    <xf numFmtId="165" fontId="11" fillId="27" borderId="38" xfId="4" applyNumberFormat="1" applyFont="1" applyFill="1" applyBorder="1" applyAlignment="1" applyProtection="1">
      <alignment horizontal="center" vertical="center"/>
    </xf>
    <xf numFmtId="168" fontId="10" fillId="26" borderId="27" xfId="4" applyFont="1" applyFill="1" applyBorder="1" applyAlignment="1" applyProtection="1">
      <alignment horizontal="center" vertical="center"/>
    </xf>
    <xf numFmtId="164" fontId="12" fillId="27" borderId="26" xfId="4" applyNumberFormat="1" applyFont="1" applyFill="1" applyBorder="1" applyAlignment="1" applyProtection="1">
      <alignment horizontal="center" vertical="center"/>
    </xf>
    <xf numFmtId="165" fontId="11" fillId="27" borderId="3" xfId="4" applyNumberFormat="1" applyFont="1" applyFill="1" applyBorder="1" applyAlignment="1" applyProtection="1">
      <alignment horizontal="center" vertical="center"/>
    </xf>
    <xf numFmtId="168" fontId="10" fillId="26" borderId="84" xfId="4" applyFont="1" applyFill="1" applyBorder="1" applyAlignment="1" applyProtection="1">
      <alignment horizontal="center" vertical="center"/>
    </xf>
    <xf numFmtId="164" fontId="12" fillId="27" borderId="85" xfId="4" applyNumberFormat="1" applyFont="1" applyFill="1" applyBorder="1" applyAlignment="1" applyProtection="1">
      <alignment horizontal="center" vertical="center"/>
    </xf>
    <xf numFmtId="165" fontId="11" fillId="27" borderId="86" xfId="4" applyNumberFormat="1" applyFont="1" applyFill="1" applyBorder="1" applyAlignment="1" applyProtection="1">
      <alignment horizontal="center" vertical="center"/>
    </xf>
    <xf numFmtId="168" fontId="2" fillId="0" borderId="0" xfId="4" applyBorder="1" applyProtection="1"/>
    <xf numFmtId="168" fontId="2" fillId="0" borderId="0" xfId="4" applyBorder="1" applyAlignment="1" applyProtection="1">
      <alignment horizontal="center" vertical="center"/>
    </xf>
    <xf numFmtId="168" fontId="2" fillId="0" borderId="0" xfId="4" applyProtection="1"/>
    <xf numFmtId="164" fontId="13" fillId="49" borderId="163" xfId="4" applyNumberFormat="1" applyFont="1" applyFill="1" applyBorder="1" applyAlignment="1" applyProtection="1">
      <alignment horizontal="center"/>
      <protection locked="0"/>
    </xf>
    <xf numFmtId="168" fontId="7" fillId="45" borderId="164" xfId="4" applyFont="1" applyFill="1" applyBorder="1" applyAlignment="1">
      <alignment horizontal="center" vertical="center"/>
    </xf>
    <xf numFmtId="164" fontId="10" fillId="9" borderId="2" xfId="4" applyNumberFormat="1" applyFont="1" applyFill="1" applyBorder="1" applyAlignment="1">
      <alignment horizontal="center" vertical="center"/>
    </xf>
    <xf numFmtId="168" fontId="38" fillId="59" borderId="165" xfId="4" applyFont="1" applyFill="1" applyBorder="1" applyAlignment="1">
      <alignment horizontal="left" vertical="center"/>
    </xf>
    <xf numFmtId="168" fontId="38" fillId="59" borderId="166" xfId="4" applyFont="1" applyFill="1" applyBorder="1" applyAlignment="1">
      <alignment horizontal="left" vertical="center"/>
    </xf>
    <xf numFmtId="3" fontId="112" fillId="79" borderId="0" xfId="4" applyNumberFormat="1" applyFont="1" applyFill="1" applyBorder="1" applyAlignment="1">
      <alignment horizontal="center" vertical="center"/>
    </xf>
    <xf numFmtId="1" fontId="116" fillId="19" borderId="2" xfId="4" applyNumberFormat="1" applyFont="1" applyFill="1" applyBorder="1" applyAlignment="1" applyProtection="1">
      <alignment horizontal="center" vertical="center"/>
      <protection locked="0"/>
    </xf>
    <xf numFmtId="168" fontId="98" fillId="5" borderId="4" xfId="4" applyFont="1" applyFill="1" applyBorder="1" applyProtection="1"/>
    <xf numFmtId="166" fontId="12" fillId="3" borderId="6" xfId="4" applyNumberFormat="1" applyFont="1" applyFill="1" applyBorder="1" applyAlignment="1" applyProtection="1">
      <alignment horizontal="right" vertical="center"/>
    </xf>
    <xf numFmtId="166" fontId="118" fillId="3" borderId="13" xfId="2" applyNumberFormat="1" applyFont="1" applyBorder="1" applyAlignment="1" applyProtection="1">
      <alignment vertical="center"/>
    </xf>
    <xf numFmtId="1" fontId="12" fillId="5" borderId="4" xfId="4" applyNumberFormat="1" applyFont="1" applyFill="1" applyBorder="1" applyAlignment="1" applyProtection="1">
      <alignment horizontal="center" vertical="center"/>
      <protection locked="0"/>
    </xf>
    <xf numFmtId="1" fontId="66" fillId="3" borderId="97" xfId="2" applyNumberFormat="1" applyFont="1" applyBorder="1" applyAlignment="1" applyProtection="1">
      <alignment horizontal="center" vertical="center"/>
    </xf>
    <xf numFmtId="168" fontId="98" fillId="5" borderId="12" xfId="4" applyFont="1" applyFill="1" applyBorder="1" applyProtection="1">
      <protection locked="0"/>
    </xf>
    <xf numFmtId="168" fontId="98" fillId="5" borderId="4" xfId="4" applyFont="1" applyFill="1" applyBorder="1" applyProtection="1">
      <protection locked="0"/>
    </xf>
    <xf numFmtId="166" fontId="12" fillId="3" borderId="6" xfId="4" applyNumberFormat="1" applyFont="1" applyFill="1" applyBorder="1" applyAlignment="1" applyProtection="1">
      <alignment horizontal="right" vertical="center"/>
      <protection locked="0"/>
    </xf>
    <xf numFmtId="166" fontId="119" fillId="73" borderId="47" xfId="4" applyNumberFormat="1" applyFont="1" applyFill="1" applyBorder="1" applyAlignment="1" applyProtection="1">
      <alignment horizontal="right" vertical="center"/>
      <protection locked="0"/>
    </xf>
    <xf numFmtId="166" fontId="119" fillId="73" borderId="47" xfId="4" applyNumberFormat="1" applyFont="1" applyFill="1" applyBorder="1" applyAlignment="1" applyProtection="1">
      <alignment horizontal="right" vertical="center"/>
    </xf>
    <xf numFmtId="168" fontId="98" fillId="5" borderId="98" xfId="4" applyFont="1" applyFill="1" applyBorder="1" applyProtection="1">
      <protection locked="0"/>
    </xf>
    <xf numFmtId="168" fontId="98" fillId="5" borderId="99" xfId="4" applyFont="1" applyFill="1" applyBorder="1" applyProtection="1">
      <protection locked="0"/>
    </xf>
    <xf numFmtId="1" fontId="12" fillId="5" borderId="99" xfId="4" applyNumberFormat="1" applyFont="1" applyFill="1" applyBorder="1" applyAlignment="1" applyProtection="1">
      <alignment horizontal="center" vertical="center"/>
      <protection locked="0"/>
    </xf>
    <xf numFmtId="1" fontId="66" fillId="3" borderId="101" xfId="2" applyNumberFormat="1" applyFont="1" applyBorder="1" applyAlignment="1" applyProtection="1">
      <alignment horizontal="center" vertical="center"/>
    </xf>
    <xf numFmtId="168" fontId="120" fillId="5" borderId="0" xfId="4" applyFont="1" applyFill="1" applyBorder="1"/>
    <xf numFmtId="168" fontId="104" fillId="0" borderId="0" xfId="4" applyFont="1" applyAlignment="1">
      <alignment horizontal="center" vertical="center"/>
    </xf>
    <xf numFmtId="168" fontId="104" fillId="0" borderId="0" xfId="4" applyFont="1" applyAlignment="1">
      <alignment horizontal="right" vertical="center"/>
    </xf>
    <xf numFmtId="168" fontId="122" fillId="0" borderId="0" xfId="4" applyFont="1" applyAlignment="1">
      <alignment horizontal="center" vertical="center"/>
    </xf>
    <xf numFmtId="168" fontId="122" fillId="18" borderId="0" xfId="4" applyFont="1" applyFill="1" applyBorder="1" applyAlignment="1">
      <alignment horizontal="center" vertical="center"/>
    </xf>
    <xf numFmtId="168" fontId="122" fillId="5" borderId="0" xfId="4" applyFont="1" applyFill="1" applyBorder="1" applyAlignment="1">
      <alignment horizontal="center" vertical="center"/>
    </xf>
    <xf numFmtId="168" fontId="122" fillId="0" borderId="0" xfId="4" applyFont="1" applyAlignment="1">
      <alignment horizontal="right" vertical="center"/>
    </xf>
    <xf numFmtId="168" fontId="123" fillId="0" borderId="0" xfId="4" applyFont="1"/>
    <xf numFmtId="168" fontId="124" fillId="18" borderId="4" xfId="4" applyFont="1" applyFill="1" applyBorder="1" applyAlignment="1" applyProtection="1">
      <alignment horizontal="center" vertical="center"/>
      <protection locked="0"/>
    </xf>
    <xf numFmtId="168" fontId="124" fillId="19" borderId="4" xfId="4" applyFont="1" applyFill="1" applyBorder="1" applyAlignment="1" applyProtection="1">
      <alignment horizontal="center" vertical="center"/>
      <protection locked="0"/>
    </xf>
    <xf numFmtId="168" fontId="74" fillId="19" borderId="4" xfId="4" applyFont="1" applyFill="1" applyBorder="1" applyAlignment="1" applyProtection="1">
      <alignment horizontal="center" vertical="center"/>
      <protection locked="0"/>
    </xf>
    <xf numFmtId="4" fontId="116" fillId="19" borderId="4" xfId="4" applyNumberFormat="1" applyFont="1" applyFill="1" applyBorder="1" applyAlignment="1" applyProtection="1">
      <alignment horizontal="right" vertical="center"/>
      <protection locked="0"/>
    </xf>
    <xf numFmtId="3" fontId="116" fillId="19" borderId="5" xfId="4" applyNumberFormat="1" applyFont="1" applyFill="1" applyBorder="1" applyAlignment="1" applyProtection="1">
      <alignment horizontal="center" vertical="center"/>
      <protection locked="0"/>
    </xf>
    <xf numFmtId="165" fontId="124" fillId="19" borderId="5" xfId="4" applyNumberFormat="1" applyFont="1" applyFill="1" applyBorder="1" applyAlignment="1" applyProtection="1">
      <alignment horizontal="center" vertical="center"/>
      <protection locked="0"/>
    </xf>
    <xf numFmtId="168" fontId="104" fillId="0" borderId="4" xfId="4" applyFont="1" applyBorder="1" applyAlignment="1">
      <alignment horizontal="center" vertical="center"/>
    </xf>
    <xf numFmtId="168" fontId="104" fillId="19" borderId="4" xfId="4" applyFont="1" applyFill="1" applyBorder="1" applyAlignment="1" applyProtection="1">
      <alignment horizontal="center" vertical="center"/>
      <protection locked="0"/>
    </xf>
    <xf numFmtId="168" fontId="104" fillId="18" borderId="4" xfId="4" applyFont="1" applyFill="1" applyBorder="1" applyAlignment="1" applyProtection="1">
      <alignment horizontal="center" vertical="center"/>
      <protection locked="0"/>
    </xf>
    <xf numFmtId="167" fontId="104" fillId="0" borderId="4" xfId="4" applyNumberFormat="1" applyFont="1" applyBorder="1" applyAlignment="1">
      <alignment horizontal="center" vertical="center"/>
    </xf>
    <xf numFmtId="168" fontId="104" fillId="0" borderId="4" xfId="4" applyFont="1" applyBorder="1" applyAlignment="1" applyProtection="1">
      <alignment horizontal="center" vertical="center"/>
      <protection locked="0"/>
    </xf>
    <xf numFmtId="167" fontId="104" fillId="0" borderId="4" xfId="4" applyNumberFormat="1" applyFont="1" applyBorder="1" applyAlignment="1" applyProtection="1">
      <alignment horizontal="center" vertical="center"/>
      <protection locked="0"/>
    </xf>
    <xf numFmtId="168" fontId="74" fillId="0" borderId="4" xfId="4" applyFont="1" applyBorder="1" applyAlignment="1" applyProtection="1">
      <alignment horizontal="center" vertical="center"/>
      <protection locked="0"/>
    </xf>
    <xf numFmtId="4" fontId="104" fillId="0" borderId="4" xfId="4" applyNumberFormat="1" applyFont="1" applyBorder="1" applyAlignment="1">
      <alignment horizontal="right" vertical="center"/>
    </xf>
    <xf numFmtId="165" fontId="74" fillId="19" borderId="5" xfId="4" applyNumberFormat="1" applyFont="1" applyFill="1" applyBorder="1" applyAlignment="1" applyProtection="1">
      <alignment horizontal="center" vertical="center"/>
      <protection locked="0"/>
    </xf>
    <xf numFmtId="168" fontId="74" fillId="19" borderId="0" xfId="4" applyFont="1" applyFill="1" applyBorder="1" applyAlignment="1">
      <alignment horizontal="left" vertical="center"/>
    </xf>
    <xf numFmtId="168" fontId="104" fillId="0" borderId="0" xfId="4" applyFont="1" applyBorder="1" applyAlignment="1">
      <alignment horizontal="left"/>
    </xf>
    <xf numFmtId="168" fontId="104" fillId="0" borderId="0" xfId="4" applyFont="1" applyBorder="1" applyAlignment="1">
      <alignment horizontal="center" vertical="center"/>
    </xf>
    <xf numFmtId="168" fontId="104" fillId="0" borderId="0" xfId="4" applyFont="1" applyBorder="1" applyAlignment="1">
      <alignment horizontal="left" vertical="center"/>
    </xf>
    <xf numFmtId="168" fontId="124" fillId="0" borderId="0" xfId="4" applyFont="1" applyBorder="1" applyAlignment="1">
      <alignment horizontal="center" vertical="center"/>
    </xf>
    <xf numFmtId="168" fontId="124" fillId="5" borderId="0" xfId="4" applyFont="1" applyFill="1" applyBorder="1" applyAlignment="1">
      <alignment horizontal="center" vertical="center"/>
    </xf>
    <xf numFmtId="4" fontId="104" fillId="0" borderId="0" xfId="4" applyNumberFormat="1" applyFont="1" applyBorder="1" applyAlignment="1">
      <alignment horizontal="right" vertical="center"/>
    </xf>
    <xf numFmtId="168" fontId="104" fillId="0" borderId="0" xfId="4" applyFont="1" applyBorder="1" applyAlignment="1">
      <alignment horizontal="right" vertical="center"/>
    </xf>
    <xf numFmtId="168" fontId="116" fillId="19" borderId="4" xfId="4" applyFont="1" applyFill="1" applyBorder="1" applyAlignment="1" applyProtection="1">
      <alignment horizontal="center" vertical="center"/>
      <protection locked="0"/>
    </xf>
    <xf numFmtId="168" fontId="104" fillId="19" borderId="4" xfId="4" applyFont="1" applyFill="1" applyBorder="1" applyAlignment="1" applyProtection="1">
      <alignment vertical="center"/>
      <protection locked="0"/>
    </xf>
    <xf numFmtId="4" fontId="104" fillId="19" borderId="4" xfId="4" applyNumberFormat="1" applyFont="1" applyFill="1" applyBorder="1" applyAlignment="1">
      <alignment horizontal="right" vertical="center"/>
    </xf>
    <xf numFmtId="168" fontId="104" fillId="0" borderId="4" xfId="4" applyFont="1" applyBorder="1" applyAlignment="1" applyProtection="1">
      <alignment vertical="center"/>
      <protection locked="0"/>
    </xf>
    <xf numFmtId="167" fontId="104" fillId="0" borderId="0" xfId="4" applyNumberFormat="1" applyFont="1" applyAlignment="1">
      <alignment horizontal="center" vertical="center"/>
    </xf>
    <xf numFmtId="0" fontId="125" fillId="0" borderId="0" xfId="0" applyFont="1" applyAlignment="1">
      <alignment horizontal="left"/>
    </xf>
    <xf numFmtId="168" fontId="104" fillId="0" borderId="0" xfId="4" applyFont="1" applyAlignment="1">
      <alignment horizontal="center"/>
    </xf>
    <xf numFmtId="4" fontId="104" fillId="0" borderId="0" xfId="4" applyNumberFormat="1" applyFont="1" applyAlignment="1">
      <alignment horizontal="right" vertical="center"/>
    </xf>
    <xf numFmtId="168" fontId="104" fillId="0" borderId="0" xfId="4" applyFont="1" applyBorder="1" applyProtection="1">
      <protection locked="0"/>
    </xf>
    <xf numFmtId="168" fontId="104" fillId="0" borderId="0" xfId="4" applyFont="1" applyBorder="1"/>
    <xf numFmtId="168" fontId="122" fillId="0" borderId="121" xfId="4" applyFont="1" applyBorder="1" applyAlignment="1">
      <alignment horizontal="center" vertical="center"/>
    </xf>
    <xf numFmtId="168" fontId="74" fillId="0" borderId="121" xfId="4" applyFont="1" applyBorder="1" applyAlignment="1">
      <alignment horizontal="center" vertical="center"/>
    </xf>
    <xf numFmtId="168" fontId="74" fillId="5" borderId="121" xfId="4" applyFont="1" applyFill="1" applyBorder="1" applyAlignment="1">
      <alignment horizontal="center" vertical="center"/>
    </xf>
    <xf numFmtId="168" fontId="116" fillId="0" borderId="0" xfId="4" applyFont="1" applyBorder="1"/>
    <xf numFmtId="168" fontId="104" fillId="0" borderId="4" xfId="4" applyFont="1" applyBorder="1" applyProtection="1">
      <protection locked="0"/>
    </xf>
    <xf numFmtId="4" fontId="104" fillId="0" borderId="4" xfId="4" applyNumberFormat="1" applyFont="1" applyBorder="1" applyAlignment="1" applyProtection="1">
      <alignment horizontal="right" vertical="center"/>
      <protection locked="0"/>
    </xf>
    <xf numFmtId="167" fontId="104" fillId="0" borderId="0" xfId="4" applyNumberFormat="1" applyFont="1" applyAlignment="1" applyProtection="1">
      <alignment horizontal="center" vertical="center"/>
      <protection locked="0"/>
    </xf>
    <xf numFmtId="167" fontId="104" fillId="0" borderId="0" xfId="4" applyNumberFormat="1" applyFont="1" applyBorder="1" applyAlignment="1" applyProtection="1">
      <alignment horizontal="center" vertical="center"/>
      <protection locked="0"/>
    </xf>
    <xf numFmtId="168" fontId="124" fillId="0" borderId="4" xfId="4" applyFont="1" applyBorder="1" applyAlignment="1" applyProtection="1">
      <alignment horizontal="center" vertical="center"/>
      <protection locked="0"/>
    </xf>
    <xf numFmtId="168" fontId="124" fillId="5" borderId="4" xfId="4" applyFont="1" applyFill="1" applyBorder="1" applyAlignment="1" applyProtection="1">
      <alignment horizontal="center" vertical="center"/>
      <protection locked="0"/>
    </xf>
    <xf numFmtId="168" fontId="104" fillId="0" borderId="0" xfId="4" applyFont="1" applyAlignment="1" applyProtection="1">
      <alignment horizontal="center" vertical="center"/>
      <protection locked="0"/>
    </xf>
    <xf numFmtId="167" fontId="104" fillId="0" borderId="0" xfId="4" applyNumberFormat="1" applyFont="1" applyBorder="1" applyAlignment="1">
      <alignment horizontal="center" vertical="center"/>
    </xf>
    <xf numFmtId="4" fontId="122" fillId="0" borderId="0" xfId="4" applyNumberFormat="1" applyFont="1" applyAlignment="1">
      <alignment horizontal="right" vertical="center"/>
    </xf>
    <xf numFmtId="168" fontId="124" fillId="19" borderId="122" xfId="4" applyFont="1" applyFill="1" applyBorder="1" applyAlignment="1" applyProtection="1">
      <alignment vertical="center"/>
      <protection locked="0"/>
    </xf>
    <xf numFmtId="168" fontId="124" fillId="0" borderId="122" xfId="4" applyFont="1" applyBorder="1" applyProtection="1">
      <protection locked="0"/>
    </xf>
    <xf numFmtId="168" fontId="104" fillId="0" borderId="122" xfId="4" applyFont="1" applyBorder="1" applyAlignment="1" applyProtection="1">
      <alignment horizontal="right" vertical="center"/>
      <protection locked="0"/>
    </xf>
    <xf numFmtId="168" fontId="104" fillId="0" borderId="122" xfId="4" applyFont="1" applyBorder="1" applyAlignment="1">
      <alignment horizontal="right" vertical="center"/>
    </xf>
    <xf numFmtId="168" fontId="124" fillId="0" borderId="4" xfId="4" applyFont="1" applyBorder="1" applyProtection="1">
      <protection locked="0"/>
    </xf>
    <xf numFmtId="168" fontId="124" fillId="0" borderId="4" xfId="4" applyFont="1" applyBorder="1"/>
    <xf numFmtId="4" fontId="104" fillId="0" borderId="122" xfId="4" applyNumberFormat="1" applyFont="1" applyBorder="1" applyAlignment="1">
      <alignment horizontal="right" vertical="center"/>
    </xf>
    <xf numFmtId="168" fontId="126" fillId="0" borderId="0" xfId="9" applyNumberFormat="1" applyFont="1" applyBorder="1" applyAlignment="1" applyProtection="1">
      <alignment horizontal="left" vertical="center"/>
      <protection locked="0"/>
    </xf>
    <xf numFmtId="168" fontId="97" fillId="0" borderId="122" xfId="4" applyFont="1" applyBorder="1" applyAlignment="1" applyProtection="1">
      <alignment horizontal="left"/>
      <protection locked="0"/>
    </xf>
    <xf numFmtId="165" fontId="127" fillId="3" borderId="19" xfId="4" applyNumberFormat="1" applyFont="1" applyFill="1" applyBorder="1" applyAlignment="1" applyProtection="1">
      <alignment horizontal="right" vertical="center"/>
      <protection locked="0"/>
    </xf>
    <xf numFmtId="165" fontId="127" fillId="3" borderId="116" xfId="4" applyNumberFormat="1" applyFont="1" applyFill="1" applyBorder="1" applyAlignment="1" applyProtection="1">
      <alignment horizontal="right" vertical="center"/>
      <protection locked="0"/>
    </xf>
    <xf numFmtId="165" fontId="98" fillId="5" borderId="5" xfId="4" applyNumberFormat="1" applyFont="1" applyFill="1" applyBorder="1" applyAlignment="1" applyProtection="1">
      <alignment horizontal="center" vertical="center"/>
      <protection locked="0"/>
    </xf>
    <xf numFmtId="3" fontId="99" fillId="52" borderId="2" xfId="4" applyNumberFormat="1" applyFont="1" applyFill="1" applyBorder="1" applyAlignment="1" applyProtection="1">
      <alignment horizontal="center" vertical="center"/>
      <protection locked="0"/>
    </xf>
    <xf numFmtId="3" fontId="118" fillId="3" borderId="114" xfId="2" applyNumberFormat="1" applyFont="1" applyBorder="1" applyAlignment="1" applyProtection="1">
      <alignment horizontal="center" vertical="center"/>
    </xf>
    <xf numFmtId="165" fontId="98" fillId="5" borderId="4" xfId="4" applyNumberFormat="1" applyFont="1" applyFill="1" applyBorder="1" applyAlignment="1" applyProtection="1">
      <alignment horizontal="center" vertical="center"/>
      <protection locked="0"/>
    </xf>
    <xf numFmtId="165" fontId="98" fillId="5" borderId="117" xfId="4" applyNumberFormat="1" applyFont="1" applyFill="1" applyBorder="1" applyAlignment="1" applyProtection="1">
      <alignment horizontal="center" vertical="center"/>
      <protection locked="0"/>
    </xf>
    <xf numFmtId="165" fontId="98" fillId="5" borderId="118" xfId="4" applyNumberFormat="1" applyFont="1" applyFill="1" applyBorder="1" applyAlignment="1" applyProtection="1">
      <alignment horizontal="center" vertical="center"/>
      <protection locked="0"/>
    </xf>
    <xf numFmtId="3" fontId="118" fillId="3" borderId="119" xfId="2" applyNumberFormat="1" applyFont="1" applyBorder="1" applyAlignment="1" applyProtection="1">
      <alignment horizontal="center" vertical="center"/>
    </xf>
    <xf numFmtId="1" fontId="12" fillId="5" borderId="48" xfId="4" applyNumberFormat="1" applyFont="1" applyFill="1" applyBorder="1" applyAlignment="1" applyProtection="1">
      <alignment horizontal="center" vertical="center"/>
      <protection locked="0"/>
    </xf>
    <xf numFmtId="168" fontId="61" fillId="42" borderId="0" xfId="4" applyFont="1" applyFill="1" applyAlignment="1">
      <alignment horizontal="center" vertical="center"/>
    </xf>
    <xf numFmtId="3" fontId="73" fillId="19" borderId="5" xfId="4" applyNumberFormat="1" applyFont="1" applyFill="1" applyBorder="1" applyAlignment="1" applyProtection="1">
      <alignment horizontal="center" vertical="center"/>
      <protection locked="0"/>
    </xf>
    <xf numFmtId="1" fontId="106" fillId="19" borderId="152" xfId="4" applyNumberFormat="1" applyFont="1" applyFill="1" applyBorder="1" applyAlignment="1" applyProtection="1">
      <alignment horizontal="center" vertical="center"/>
      <protection locked="0"/>
    </xf>
    <xf numFmtId="4" fontId="104" fillId="19" borderId="6" xfId="4" applyNumberFormat="1" applyFont="1" applyFill="1" applyBorder="1" applyAlignment="1">
      <alignment horizontal="right" vertical="center"/>
    </xf>
    <xf numFmtId="168" fontId="128" fillId="25" borderId="4" xfId="4" applyFont="1" applyFill="1" applyBorder="1" applyAlignment="1" applyProtection="1">
      <alignment horizontal="left" vertical="center"/>
      <protection locked="0"/>
    </xf>
    <xf numFmtId="168" fontId="51" fillId="70" borderId="105" xfId="4" applyFont="1" applyFill="1" applyBorder="1" applyAlignment="1" applyProtection="1">
      <alignment vertical="center"/>
      <protection locked="0"/>
    </xf>
    <xf numFmtId="168" fontId="98" fillId="0" borderId="0" xfId="4" applyFont="1"/>
    <xf numFmtId="168" fontId="131" fillId="19" borderId="4" xfId="9" applyNumberFormat="1" applyFont="1" applyFill="1" applyBorder="1" applyAlignment="1" applyProtection="1">
      <alignment horizontal="left" vertical="center"/>
      <protection locked="0"/>
    </xf>
    <xf numFmtId="168" fontId="132" fillId="19" borderId="0" xfId="4" applyFont="1" applyFill="1" applyBorder="1" applyAlignment="1">
      <alignment horizontal="left" vertical="center"/>
    </xf>
    <xf numFmtId="168" fontId="131" fillId="19" borderId="4" xfId="9" applyNumberFormat="1" applyFont="1" applyFill="1" applyBorder="1" applyAlignment="1" applyProtection="1">
      <alignment vertical="center"/>
      <protection locked="0"/>
    </xf>
    <xf numFmtId="168" fontId="131" fillId="0" borderId="4" xfId="9" applyNumberFormat="1" applyFont="1" applyBorder="1" applyProtection="1">
      <protection locked="0"/>
    </xf>
    <xf numFmtId="164" fontId="19" fillId="9" borderId="32" xfId="4" applyNumberFormat="1" applyFont="1" applyFill="1" applyBorder="1" applyAlignment="1">
      <alignment horizontal="center" vertical="center"/>
    </xf>
    <xf numFmtId="1" fontId="19" fillId="17" borderId="139" xfId="4" applyNumberFormat="1" applyFont="1" applyFill="1" applyBorder="1" applyAlignment="1" applyProtection="1">
      <alignment horizontal="center" vertical="center"/>
      <protection locked="0"/>
    </xf>
    <xf numFmtId="169" fontId="56" fillId="81" borderId="147" xfId="4" applyNumberFormat="1" applyFont="1" applyFill="1" applyBorder="1" applyAlignment="1">
      <alignment horizontal="center" vertical="center"/>
    </xf>
    <xf numFmtId="165" fontId="133" fillId="82" borderId="41" xfId="4" applyNumberFormat="1" applyFont="1" applyFill="1" applyBorder="1" applyAlignment="1">
      <alignment horizontal="center" vertical="center"/>
    </xf>
    <xf numFmtId="168" fontId="134" fillId="83" borderId="53" xfId="4" applyFont="1" applyFill="1" applyBorder="1" applyAlignment="1">
      <alignment horizontal="center" vertical="center"/>
    </xf>
    <xf numFmtId="168" fontId="116" fillId="0" borderId="0" xfId="4" applyFont="1"/>
    <xf numFmtId="168" fontId="73" fillId="0" borderId="4" xfId="4" applyFont="1" applyBorder="1" applyAlignment="1" applyProtection="1">
      <alignment horizontal="center" vertical="center"/>
      <protection locked="0"/>
    </xf>
    <xf numFmtId="168" fontId="84" fillId="56" borderId="167" xfId="4" applyFont="1" applyFill="1" applyBorder="1" applyAlignment="1">
      <alignment horizontal="center" vertical="center"/>
    </xf>
    <xf numFmtId="165" fontId="16" fillId="10" borderId="168" xfId="4" applyNumberFormat="1" applyFont="1" applyFill="1" applyBorder="1" applyAlignment="1">
      <alignment horizontal="left" vertical="center"/>
    </xf>
    <xf numFmtId="168" fontId="63" fillId="44" borderId="171" xfId="4" applyFont="1" applyFill="1" applyBorder="1" applyAlignment="1" applyProtection="1">
      <alignment horizontal="left" vertical="center"/>
      <protection locked="0"/>
    </xf>
    <xf numFmtId="168" fontId="63" fillId="44" borderId="172" xfId="4" applyFont="1" applyFill="1" applyBorder="1" applyAlignment="1" applyProtection="1">
      <alignment horizontal="left" vertical="center"/>
      <protection locked="0"/>
    </xf>
    <xf numFmtId="168" fontId="63" fillId="44" borderId="173" xfId="4" applyFont="1" applyFill="1" applyBorder="1" applyAlignment="1" applyProtection="1">
      <alignment horizontal="left" vertical="center"/>
      <protection locked="0"/>
    </xf>
    <xf numFmtId="168" fontId="2" fillId="0" borderId="149" xfId="4" applyBorder="1"/>
    <xf numFmtId="168" fontId="2" fillId="5" borderId="115" xfId="4" applyFill="1" applyBorder="1"/>
    <xf numFmtId="168" fontId="39" fillId="0" borderId="115" xfId="4" applyFont="1" applyBorder="1"/>
    <xf numFmtId="168" fontId="2" fillId="0" borderId="115" xfId="4" applyBorder="1"/>
    <xf numFmtId="167" fontId="64" fillId="0" borderId="174" xfId="4" applyNumberFormat="1" applyFont="1" applyBorder="1" applyAlignment="1">
      <alignment horizontal="center" vertical="center"/>
    </xf>
    <xf numFmtId="164" fontId="10" fillId="9" borderId="108" xfId="4" applyNumberFormat="1" applyFont="1" applyFill="1" applyBorder="1" applyAlignment="1">
      <alignment horizontal="center" vertical="center"/>
    </xf>
    <xf numFmtId="168" fontId="104" fillId="0" borderId="11" xfId="4" applyFont="1" applyBorder="1" applyAlignment="1">
      <alignment horizontal="center"/>
    </xf>
    <xf numFmtId="168" fontId="129" fillId="5" borderId="0" xfId="4" applyFont="1" applyFill="1" applyBorder="1" applyAlignment="1">
      <alignment horizontal="center"/>
    </xf>
    <xf numFmtId="168" fontId="122" fillId="0" borderId="4" xfId="4" applyFont="1" applyBorder="1"/>
    <xf numFmtId="167" fontId="122" fillId="0" borderId="4" xfId="4" applyNumberFormat="1" applyFont="1" applyBorder="1"/>
    <xf numFmtId="168" fontId="104" fillId="0" borderId="4" xfId="4" applyFont="1" applyBorder="1"/>
    <xf numFmtId="168" fontId="122" fillId="0" borderId="4" xfId="4" applyFont="1" applyBorder="1" applyAlignment="1">
      <alignment horizontal="center" vertical="center"/>
    </xf>
    <xf numFmtId="168" fontId="122" fillId="0" borderId="4" xfId="4" applyFont="1" applyBorder="1" applyAlignment="1">
      <alignment horizontal="right" vertical="center"/>
    </xf>
    <xf numFmtId="167" fontId="60" fillId="0" borderId="4" xfId="4" applyNumberFormat="1" applyFont="1" applyBorder="1" applyAlignment="1">
      <alignment horizontal="left" vertical="center"/>
    </xf>
    <xf numFmtId="168" fontId="60" fillId="0" borderId="4" xfId="4" applyFont="1" applyBorder="1" applyAlignment="1">
      <alignment horizontal="right" vertical="center"/>
    </xf>
    <xf numFmtId="168" fontId="104" fillId="0" borderId="4" xfId="4" applyFont="1" applyBorder="1" applyAlignment="1">
      <alignment vertical="center"/>
    </xf>
    <xf numFmtId="168" fontId="104" fillId="0" borderId="4" xfId="4" applyFont="1" applyBorder="1" applyAlignment="1">
      <alignment horizontal="right" vertical="center"/>
    </xf>
    <xf numFmtId="168" fontId="98" fillId="0" borderId="4" xfId="4" applyFont="1" applyBorder="1"/>
    <xf numFmtId="4" fontId="104" fillId="0" borderId="122" xfId="4" applyNumberFormat="1" applyFont="1" applyBorder="1" applyAlignment="1" applyProtection="1">
      <alignment horizontal="right" vertical="center"/>
      <protection locked="0"/>
    </xf>
    <xf numFmtId="168" fontId="74" fillId="60" borderId="2" xfId="4" applyFont="1" applyFill="1" applyBorder="1" applyAlignment="1">
      <alignment horizontal="center" vertical="center"/>
    </xf>
    <xf numFmtId="168" fontId="97" fillId="0" borderId="155" xfId="4" applyFont="1" applyBorder="1" applyAlignment="1">
      <alignment horizontal="left"/>
    </xf>
    <xf numFmtId="165" fontId="18" fillId="84" borderId="169" xfId="4" applyNumberFormat="1" applyFont="1" applyFill="1" applyBorder="1" applyAlignment="1">
      <alignment horizontal="left" vertical="center"/>
    </xf>
    <xf numFmtId="165" fontId="19" fillId="9" borderId="63" xfId="4" applyNumberFormat="1" applyFont="1" applyFill="1" applyBorder="1" applyAlignment="1">
      <alignment horizontal="center" vertical="center"/>
    </xf>
    <xf numFmtId="165" fontId="19" fillId="9" borderId="53" xfId="4" applyNumberFormat="1" applyFont="1" applyFill="1" applyBorder="1" applyAlignment="1">
      <alignment horizontal="center" vertical="center"/>
    </xf>
    <xf numFmtId="168" fontId="73" fillId="19" borderId="4" xfId="4" applyFont="1" applyFill="1" applyBorder="1" applyAlignment="1" applyProtection="1">
      <alignment horizontal="center" vertical="center"/>
      <protection locked="0"/>
    </xf>
    <xf numFmtId="168" fontId="55" fillId="13" borderId="0" xfId="4" applyFont="1" applyFill="1" applyBorder="1" applyAlignment="1">
      <alignment horizontal="center" vertical="center" wrapText="1"/>
    </xf>
    <xf numFmtId="1" fontId="135" fillId="13" borderId="0" xfId="4" applyNumberFormat="1" applyFont="1" applyFill="1" applyBorder="1" applyAlignment="1" applyProtection="1">
      <alignment horizontal="center" vertical="center"/>
      <protection locked="0"/>
    </xf>
    <xf numFmtId="168" fontId="63" fillId="30" borderId="176" xfId="4" applyFont="1" applyFill="1" applyBorder="1" applyAlignment="1">
      <alignment horizontal="center" vertical="center"/>
    </xf>
    <xf numFmtId="1" fontId="62" fillId="31" borderId="177" xfId="4" applyNumberFormat="1" applyFont="1" applyFill="1" applyBorder="1" applyAlignment="1">
      <alignment horizontal="center" vertical="center"/>
    </xf>
    <xf numFmtId="168" fontId="111" fillId="58" borderId="178" xfId="4" applyFont="1" applyFill="1" applyBorder="1" applyAlignment="1">
      <alignment horizontal="left" vertical="center" wrapText="1"/>
    </xf>
    <xf numFmtId="168" fontId="51" fillId="47" borderId="179" xfId="4" applyFont="1" applyFill="1" applyBorder="1" applyAlignment="1">
      <alignment horizontal="center" vertical="center"/>
    </xf>
    <xf numFmtId="165" fontId="11" fillId="5" borderId="175" xfId="4" applyNumberFormat="1" applyFont="1" applyFill="1" applyBorder="1" applyAlignment="1" applyProtection="1">
      <alignment horizontal="center" vertical="center"/>
      <protection locked="0"/>
    </xf>
    <xf numFmtId="165" fontId="11" fillId="5" borderId="180" xfId="4" applyNumberFormat="1" applyFont="1" applyFill="1" applyBorder="1" applyAlignment="1" applyProtection="1">
      <alignment horizontal="center" vertical="center"/>
      <protection locked="0"/>
    </xf>
    <xf numFmtId="165" fontId="11" fillId="5" borderId="181" xfId="4" applyNumberFormat="1" applyFont="1" applyFill="1" applyBorder="1" applyAlignment="1" applyProtection="1">
      <alignment horizontal="center" vertical="center"/>
      <protection locked="0"/>
    </xf>
    <xf numFmtId="164" fontId="13" fillId="48" borderId="182" xfId="4" applyNumberFormat="1" applyFont="1" applyFill="1" applyBorder="1" applyAlignment="1" applyProtection="1">
      <alignment horizontal="center"/>
    </xf>
    <xf numFmtId="168" fontId="63" fillId="30" borderId="168" xfId="4" applyFont="1" applyFill="1" applyBorder="1" applyAlignment="1">
      <alignment horizontal="center" vertical="center"/>
    </xf>
    <xf numFmtId="165" fontId="62" fillId="31" borderId="183" xfId="4" applyNumberFormat="1" applyFont="1" applyFill="1" applyBorder="1" applyAlignment="1">
      <alignment horizontal="center" vertical="center"/>
    </xf>
    <xf numFmtId="168" fontId="36" fillId="0" borderId="102" xfId="4" applyFont="1" applyBorder="1" applyAlignment="1">
      <alignment horizontal="center" vertical="center"/>
    </xf>
    <xf numFmtId="168" fontId="51" fillId="47" borderId="184" xfId="4" applyFont="1" applyFill="1" applyBorder="1" applyAlignment="1">
      <alignment horizontal="center" vertical="center"/>
    </xf>
    <xf numFmtId="164" fontId="13" fillId="48" borderId="185" xfId="4" applyNumberFormat="1" applyFont="1" applyFill="1" applyBorder="1" applyAlignment="1" applyProtection="1">
      <alignment horizontal="center"/>
    </xf>
    <xf numFmtId="168" fontId="114" fillId="19" borderId="0" xfId="4" applyFont="1" applyFill="1" applyBorder="1" applyAlignment="1">
      <alignment horizontal="center" vertical="center"/>
    </xf>
    <xf numFmtId="168" fontId="83" fillId="19" borderId="0" xfId="4" applyFont="1" applyFill="1" applyBorder="1" applyAlignment="1">
      <alignment vertical="center"/>
    </xf>
    <xf numFmtId="168" fontId="107" fillId="19" borderId="0" xfId="4" applyFont="1" applyFill="1" applyBorder="1" applyAlignment="1">
      <alignment vertical="center"/>
    </xf>
    <xf numFmtId="168" fontId="55" fillId="63" borderId="186" xfId="4" applyFont="1" applyFill="1" applyBorder="1" applyAlignment="1">
      <alignment horizontal="center" vertical="center" wrapText="1"/>
    </xf>
    <xf numFmtId="1" fontId="79" fillId="56" borderId="187" xfId="4" applyNumberFormat="1" applyFont="1" applyFill="1" applyBorder="1" applyAlignment="1" applyProtection="1">
      <alignment horizontal="center" vertical="center"/>
      <protection locked="0"/>
    </xf>
    <xf numFmtId="168" fontId="55" fillId="80" borderId="188" xfId="4" applyFont="1" applyFill="1" applyBorder="1" applyAlignment="1">
      <alignment horizontal="center" vertical="center" wrapText="1"/>
    </xf>
    <xf numFmtId="1" fontId="79" fillId="85" borderId="187" xfId="4" applyNumberFormat="1" applyFont="1" applyFill="1" applyBorder="1" applyAlignment="1" applyProtection="1">
      <alignment horizontal="center" vertical="center"/>
      <protection locked="0"/>
    </xf>
    <xf numFmtId="168" fontId="55" fillId="47" borderId="188" xfId="4" applyFont="1" applyFill="1" applyBorder="1" applyAlignment="1">
      <alignment horizontal="center" vertical="center" wrapText="1"/>
    </xf>
    <xf numFmtId="1" fontId="79" fillId="86" borderId="28" xfId="4" applyNumberFormat="1" applyFont="1" applyFill="1" applyBorder="1" applyAlignment="1" applyProtection="1">
      <alignment horizontal="center" vertical="center"/>
      <protection locked="0"/>
    </xf>
    <xf numFmtId="164" fontId="44" fillId="87" borderId="10" xfId="4" applyNumberFormat="1" applyFont="1" applyFill="1" applyBorder="1" applyAlignment="1">
      <alignment horizontal="left" vertical="center"/>
    </xf>
    <xf numFmtId="2" fontId="114" fillId="88" borderId="130" xfId="4" applyNumberFormat="1" applyFont="1" applyFill="1" applyBorder="1" applyAlignment="1">
      <alignment horizontal="center" vertical="center"/>
    </xf>
    <xf numFmtId="0" fontId="46" fillId="0" borderId="0" xfId="0" applyFont="1"/>
    <xf numFmtId="49" fontId="64" fillId="0" borderId="0" xfId="4" applyNumberFormat="1" applyFont="1" applyAlignment="1">
      <alignment horizontal="center" vertical="center"/>
    </xf>
    <xf numFmtId="168" fontId="51" fillId="77" borderId="102" xfId="4" applyFont="1" applyFill="1" applyBorder="1" applyAlignment="1">
      <alignment horizontal="left" vertical="center"/>
    </xf>
    <xf numFmtId="168" fontId="51" fillId="89" borderId="170" xfId="4" applyFont="1" applyFill="1" applyBorder="1" applyAlignment="1" applyProtection="1">
      <alignment vertical="center"/>
      <protection locked="0"/>
    </xf>
    <xf numFmtId="168" fontId="51" fillId="77" borderId="9" xfId="4" applyFont="1" applyFill="1" applyBorder="1" applyAlignment="1">
      <alignment horizontal="left" vertical="center"/>
    </xf>
    <xf numFmtId="168" fontId="51" fillId="89" borderId="105" xfId="4" applyFont="1" applyFill="1" applyBorder="1" applyAlignment="1" applyProtection="1">
      <alignment vertical="center"/>
      <protection locked="0"/>
    </xf>
    <xf numFmtId="168" fontId="126" fillId="0" borderId="4" xfId="9" applyNumberFormat="1" applyFont="1" applyBorder="1" applyAlignment="1">
      <alignment horizontal="center" vertical="center"/>
    </xf>
    <xf numFmtId="168" fontId="51" fillId="59" borderId="64" xfId="4" applyFont="1" applyFill="1" applyBorder="1" applyAlignment="1">
      <alignment horizontal="center" vertical="center"/>
    </xf>
    <xf numFmtId="168" fontId="124" fillId="90" borderId="4" xfId="4" applyFont="1" applyFill="1" applyBorder="1" applyAlignment="1" applyProtection="1">
      <alignment horizontal="center" vertical="center"/>
      <protection locked="0"/>
    </xf>
    <xf numFmtId="168" fontId="124" fillId="12" borderId="4" xfId="4" applyFont="1" applyFill="1" applyBorder="1" applyAlignment="1" applyProtection="1">
      <alignment horizontal="center" vertical="center"/>
      <protection locked="0"/>
    </xf>
    <xf numFmtId="168" fontId="74" fillId="12" borderId="4" xfId="4" applyFont="1" applyFill="1" applyBorder="1" applyAlignment="1" applyProtection="1">
      <alignment horizontal="center" vertical="center"/>
      <protection locked="0"/>
    </xf>
    <xf numFmtId="168" fontId="78" fillId="18" borderId="0" xfId="4" applyFont="1" applyFill="1" applyBorder="1" applyAlignment="1">
      <alignment horizontal="center"/>
    </xf>
    <xf numFmtId="3" fontId="116" fillId="12" borderId="5" xfId="4" applyNumberFormat="1" applyFont="1" applyFill="1" applyBorder="1" applyAlignment="1" applyProtection="1">
      <alignment horizontal="center" vertical="center"/>
      <protection locked="0"/>
    </xf>
    <xf numFmtId="168" fontId="136" fillId="19" borderId="4" xfId="9" applyNumberFormat="1" applyFont="1" applyFill="1" applyBorder="1" applyAlignment="1" applyProtection="1">
      <alignment horizontal="left" vertical="center"/>
      <protection locked="0"/>
    </xf>
    <xf numFmtId="168" fontId="55" fillId="89" borderId="170" xfId="4" applyFont="1" applyFill="1" applyBorder="1" applyAlignment="1" applyProtection="1">
      <alignment vertical="center"/>
      <protection locked="0"/>
    </xf>
    <xf numFmtId="168" fontId="55" fillId="70" borderId="4" xfId="4" applyFont="1" applyFill="1" applyBorder="1" applyAlignment="1" applyProtection="1">
      <alignment horizontal="left" vertical="center"/>
      <protection locked="0"/>
    </xf>
    <xf numFmtId="168" fontId="137" fillId="25" borderId="4" xfId="4" applyFont="1" applyFill="1" applyBorder="1" applyAlignment="1" applyProtection="1">
      <alignment horizontal="left" vertical="center"/>
      <protection locked="0"/>
    </xf>
    <xf numFmtId="168" fontId="55" fillId="65" borderId="78" xfId="4" applyFont="1" applyFill="1" applyBorder="1" applyAlignment="1" applyProtection="1">
      <alignment horizontal="left" vertical="center"/>
    </xf>
    <xf numFmtId="168" fontId="55" fillId="65" borderId="81" xfId="4" applyFont="1" applyFill="1" applyBorder="1" applyAlignment="1" applyProtection="1">
      <alignment horizontal="left" vertical="center"/>
    </xf>
    <xf numFmtId="168" fontId="137" fillId="25" borderId="0" xfId="4" applyFont="1" applyFill="1" applyBorder="1" applyAlignment="1" applyProtection="1">
      <alignment horizontal="left" vertical="center"/>
      <protection locked="0"/>
    </xf>
    <xf numFmtId="164" fontId="41" fillId="37" borderId="0" xfId="4" applyNumberFormat="1" applyFont="1" applyFill="1" applyBorder="1" applyAlignment="1">
      <alignment horizontal="center" vertical="center"/>
    </xf>
    <xf numFmtId="165" fontId="22" fillId="3" borderId="0" xfId="4" applyNumberFormat="1" applyFont="1" applyFill="1" applyBorder="1"/>
    <xf numFmtId="168" fontId="45" fillId="15" borderId="0" xfId="4" applyFont="1" applyFill="1" applyBorder="1" applyAlignment="1" applyProtection="1">
      <alignment horizontal="center" vertical="center"/>
      <protection locked="0"/>
    </xf>
    <xf numFmtId="165" fontId="127" fillId="3" borderId="0" xfId="4" applyNumberFormat="1" applyFont="1" applyFill="1" applyBorder="1" applyAlignment="1" applyProtection="1">
      <alignment horizontal="right" vertical="center"/>
      <protection locked="0"/>
    </xf>
    <xf numFmtId="166" fontId="77" fillId="3" borderId="0" xfId="2" applyNumberFormat="1" applyFont="1" applyBorder="1" applyAlignment="1" applyProtection="1">
      <alignment vertical="center"/>
    </xf>
    <xf numFmtId="165" fontId="98" fillId="5" borderId="0" xfId="4" applyNumberFormat="1" applyFont="1" applyFill="1" applyBorder="1" applyAlignment="1" applyProtection="1">
      <alignment horizontal="center" vertical="center"/>
      <protection locked="0"/>
    </xf>
    <xf numFmtId="3" fontId="118" fillId="3" borderId="0" xfId="2" applyNumberFormat="1" applyFont="1" applyBorder="1" applyAlignment="1" applyProtection="1">
      <alignment horizontal="center" vertical="center"/>
    </xf>
    <xf numFmtId="168" fontId="94" fillId="19" borderId="5" xfId="4" applyFont="1" applyFill="1" applyBorder="1" applyAlignment="1" applyProtection="1">
      <alignment vertical="center"/>
      <protection locked="0"/>
    </xf>
    <xf numFmtId="168" fontId="94" fillId="19" borderId="12" xfId="4" applyFont="1" applyFill="1" applyBorder="1" applyAlignment="1" applyProtection="1">
      <alignment vertical="center"/>
      <protection locked="0"/>
    </xf>
    <xf numFmtId="168" fontId="94" fillId="19" borderId="6" xfId="4" applyFont="1" applyFill="1" applyBorder="1" applyAlignment="1" applyProtection="1">
      <alignment vertical="center"/>
      <protection locked="0"/>
    </xf>
    <xf numFmtId="168" fontId="117" fillId="47" borderId="156" xfId="4" applyFont="1" applyFill="1" applyBorder="1" applyAlignment="1">
      <alignment horizontal="left" vertical="center"/>
    </xf>
    <xf numFmtId="168" fontId="117" fillId="47" borderId="157" xfId="4" applyFont="1" applyFill="1" applyBorder="1" applyAlignment="1">
      <alignment horizontal="left" vertical="center"/>
    </xf>
    <xf numFmtId="168" fontId="117" fillId="47" borderId="158" xfId="4" applyFont="1" applyFill="1" applyBorder="1" applyAlignment="1">
      <alignment horizontal="left" vertical="center"/>
    </xf>
    <xf numFmtId="168" fontId="122" fillId="68" borderId="0" xfId="4" applyFont="1" applyFill="1" applyBorder="1" applyAlignment="1">
      <alignment horizontal="left" vertical="top"/>
    </xf>
    <xf numFmtId="168" fontId="121" fillId="68" borderId="0" xfId="4" applyFont="1" applyFill="1" applyAlignment="1">
      <alignment horizontal="left" vertical="top"/>
    </xf>
    <xf numFmtId="168" fontId="61" fillId="42" borderId="5" xfId="4" applyFont="1" applyFill="1" applyBorder="1" applyAlignment="1" applyProtection="1">
      <alignment horizontal="left" vertical="center"/>
      <protection locked="0"/>
    </xf>
    <xf numFmtId="168" fontId="61" fillId="42" borderId="12" xfId="4" applyFont="1" applyFill="1" applyBorder="1" applyAlignment="1" applyProtection="1">
      <alignment horizontal="left" vertical="center"/>
      <protection locked="0"/>
    </xf>
    <xf numFmtId="168" fontId="61" fillId="42" borderId="6" xfId="4" applyFont="1" applyFill="1" applyBorder="1" applyAlignment="1" applyProtection="1">
      <alignment horizontal="left" vertical="center"/>
      <protection locked="0"/>
    </xf>
    <xf numFmtId="168" fontId="124" fillId="19" borderId="13" xfId="4" applyFont="1" applyFill="1" applyBorder="1" applyAlignment="1" applyProtection="1">
      <alignment horizontal="left" vertical="center"/>
      <protection locked="0"/>
    </xf>
    <xf numFmtId="168" fontId="124" fillId="19" borderId="5" xfId="4" applyFont="1" applyFill="1" applyBorder="1" applyAlignment="1" applyProtection="1">
      <alignment horizontal="left" vertical="center"/>
      <protection locked="0"/>
    </xf>
    <xf numFmtId="168" fontId="124" fillId="19" borderId="12" xfId="4" applyFont="1" applyFill="1" applyBorder="1" applyAlignment="1" applyProtection="1">
      <alignment horizontal="left" vertical="center"/>
      <protection locked="0"/>
    </xf>
    <xf numFmtId="168" fontId="124" fillId="19" borderId="6" xfId="4" applyFont="1" applyFill="1" applyBorder="1" applyAlignment="1" applyProtection="1">
      <alignment horizontal="left" vertical="center"/>
      <protection locked="0"/>
    </xf>
    <xf numFmtId="168" fontId="94" fillId="19" borderId="153" xfId="4" applyFont="1" applyFill="1" applyBorder="1" applyAlignment="1" applyProtection="1">
      <alignment vertical="center"/>
      <protection locked="0"/>
    </xf>
    <xf numFmtId="168" fontId="94" fillId="19" borderId="33" xfId="4" applyFont="1" applyFill="1" applyBorder="1" applyAlignment="1" applyProtection="1">
      <alignment vertical="center"/>
      <protection locked="0"/>
    </xf>
    <xf numFmtId="168" fontId="94" fillId="19" borderId="154" xfId="4" applyFont="1" applyFill="1" applyBorder="1" applyAlignment="1" applyProtection="1">
      <alignment vertical="center"/>
      <protection locked="0"/>
    </xf>
    <xf numFmtId="168" fontId="93" fillId="19" borderId="4" xfId="4" applyFont="1" applyFill="1" applyBorder="1" applyAlignment="1">
      <alignment horizontal="left" vertical="center"/>
    </xf>
    <xf numFmtId="168" fontId="51" fillId="47" borderId="9" xfId="4" applyFont="1" applyFill="1" applyBorder="1" applyAlignment="1">
      <alignment horizontal="left" vertical="center"/>
    </xf>
    <xf numFmtId="168" fontId="51" fillId="47" borderId="76" xfId="4" applyFont="1" applyFill="1" applyBorder="1" applyAlignment="1">
      <alignment horizontal="left" vertical="center"/>
    </xf>
    <xf numFmtId="168" fontId="51" fillId="47" borderId="77" xfId="4" applyFont="1" applyFill="1" applyBorder="1" applyAlignment="1">
      <alignment horizontal="left" vertical="center"/>
    </xf>
    <xf numFmtId="168" fontId="97" fillId="0" borderId="123" xfId="4" applyFont="1" applyBorder="1" applyAlignment="1">
      <alignment horizontal="left" vertical="center"/>
    </xf>
    <xf numFmtId="168" fontId="97" fillId="0" borderId="0" xfId="4" applyFont="1" applyBorder="1" applyAlignment="1">
      <alignment horizontal="left" vertical="center"/>
    </xf>
    <xf numFmtId="168" fontId="78" fillId="18" borderId="0" xfId="4" applyFont="1" applyFill="1" applyBorder="1" applyAlignment="1">
      <alignment horizontal="center"/>
    </xf>
    <xf numFmtId="168" fontId="54" fillId="42" borderId="137" xfId="4" applyFont="1" applyFill="1" applyBorder="1" applyAlignment="1">
      <alignment horizontal="center" vertical="center"/>
    </xf>
    <xf numFmtId="168" fontId="54" fillId="42" borderId="20" xfId="4" applyFont="1" applyFill="1" applyBorder="1" applyAlignment="1">
      <alignment horizontal="center" vertical="center"/>
    </xf>
    <xf numFmtId="168" fontId="97" fillId="5" borderId="123" xfId="4" applyFont="1" applyFill="1" applyBorder="1" applyAlignment="1">
      <alignment horizontal="left" vertical="center"/>
    </xf>
    <xf numFmtId="168" fontId="97" fillId="5" borderId="0" xfId="4" applyFont="1" applyFill="1" applyBorder="1" applyAlignment="1">
      <alignment horizontal="left" vertical="center"/>
    </xf>
    <xf numFmtId="168" fontId="97" fillId="5" borderId="127" xfId="4" applyFont="1" applyFill="1" applyBorder="1" applyAlignment="1">
      <alignment horizontal="left" vertical="center"/>
    </xf>
    <xf numFmtId="168" fontId="97" fillId="5" borderId="77" xfId="4" applyFont="1" applyFill="1" applyBorder="1" applyAlignment="1">
      <alignment horizontal="left" vertical="center"/>
    </xf>
    <xf numFmtId="168" fontId="7" fillId="4" borderId="160" xfId="4" applyFont="1" applyFill="1" applyBorder="1" applyAlignment="1">
      <alignment horizontal="center" vertical="center"/>
    </xf>
    <xf numFmtId="168" fontId="7" fillId="4" borderId="76" xfId="4" applyFont="1" applyFill="1" applyBorder="1" applyAlignment="1">
      <alignment horizontal="center" vertical="center"/>
    </xf>
    <xf numFmtId="168" fontId="7" fillId="4" borderId="125" xfId="4" applyFont="1" applyFill="1" applyBorder="1" applyAlignment="1">
      <alignment horizontal="center" vertical="center"/>
    </xf>
    <xf numFmtId="168" fontId="7" fillId="4" borderId="126" xfId="4" applyFont="1" applyFill="1" applyBorder="1" applyAlignment="1">
      <alignment horizontal="center" vertical="center"/>
    </xf>
    <xf numFmtId="168" fontId="7" fillId="4" borderId="124" xfId="4" applyFont="1" applyFill="1" applyBorder="1" applyAlignment="1">
      <alignment horizontal="center" vertical="center"/>
    </xf>
    <xf numFmtId="168" fontId="7" fillId="4" borderId="140" xfId="4" applyFont="1" applyFill="1" applyBorder="1" applyAlignment="1">
      <alignment horizontal="center" vertical="center"/>
    </xf>
    <xf numFmtId="168" fontId="7" fillId="4" borderId="57" xfId="4" applyFont="1" applyFill="1" applyBorder="1" applyAlignment="1">
      <alignment horizontal="center" vertical="center"/>
    </xf>
    <xf numFmtId="3" fontId="90" fillId="5" borderId="150" xfId="4" applyNumberFormat="1" applyFont="1" applyFill="1" applyBorder="1" applyAlignment="1" applyProtection="1">
      <alignment horizontal="center" vertical="center"/>
    </xf>
    <xf numFmtId="3" fontId="90" fillId="5" borderId="151" xfId="4" applyNumberFormat="1" applyFont="1" applyFill="1" applyBorder="1" applyAlignment="1" applyProtection="1">
      <alignment horizontal="center" vertical="center"/>
    </xf>
    <xf numFmtId="167" fontId="97" fillId="0" borderId="4" xfId="4" applyNumberFormat="1" applyFont="1" applyBorder="1" applyAlignment="1">
      <alignment horizontal="left" vertical="center"/>
    </xf>
    <xf numFmtId="164" fontId="109" fillId="69" borderId="14" xfId="4" applyNumberFormat="1" applyFont="1" applyFill="1" applyBorder="1" applyAlignment="1">
      <alignment horizontal="center" vertical="center"/>
    </xf>
    <xf numFmtId="164" fontId="109" fillId="69" borderId="115" xfId="4" applyNumberFormat="1" applyFont="1" applyFill="1" applyBorder="1" applyAlignment="1">
      <alignment horizontal="center" vertical="center"/>
    </xf>
    <xf numFmtId="168" fontId="122" fillId="68" borderId="0" xfId="4" applyFont="1" applyFill="1" applyBorder="1" applyAlignment="1">
      <alignment horizontal="left" vertical="center"/>
    </xf>
    <xf numFmtId="168" fontId="61" fillId="75" borderId="0" xfId="4" applyFont="1" applyFill="1" applyAlignment="1">
      <alignment horizontal="left"/>
    </xf>
    <xf numFmtId="168" fontId="43" fillId="36" borderId="69" xfId="4" applyFont="1" applyFill="1" applyBorder="1" applyAlignment="1">
      <alignment horizontal="center" vertical="center"/>
    </xf>
    <xf numFmtId="168" fontId="43" fillId="36" borderId="159" xfId="4" applyFont="1" applyFill="1" applyBorder="1" applyAlignment="1">
      <alignment horizontal="center" vertical="center"/>
    </xf>
    <xf numFmtId="168" fontId="130" fillId="80" borderId="76" xfId="4" applyFont="1" applyFill="1" applyBorder="1" applyAlignment="1">
      <alignment horizontal="center" vertical="center"/>
    </xf>
    <xf numFmtId="168" fontId="130" fillId="80" borderId="77" xfId="4" applyFont="1" applyFill="1" applyBorder="1" applyAlignment="1">
      <alignment horizontal="center" vertical="center"/>
    </xf>
  </cellXfs>
  <cellStyles count="10">
    <cellStyle name="ConditionalStyle_1" xfId="1" xr:uid="{00000000-0005-0000-0000-000000000000}"/>
    <cellStyle name="Excel Built-in Calculation" xfId="2" xr:uid="{00000000-0005-0000-0000-000001000000}"/>
    <cellStyle name="Excel Built-in Hyperlink" xfId="3" xr:uid="{00000000-0005-0000-0000-000002000000}"/>
    <cellStyle name="Excel Built-in Normal" xfId="4" xr:uid="{00000000-0005-0000-0000-000003000000}"/>
    <cellStyle name="Heading" xfId="5" xr:uid="{00000000-0005-0000-0000-000004000000}"/>
    <cellStyle name="Heading1" xfId="6" xr:uid="{00000000-0005-0000-0000-000005000000}"/>
    <cellStyle name="Link" xfId="9" builtinId="8"/>
    <cellStyle name="Result" xfId="7" xr:uid="{00000000-0005-0000-0000-000006000000}"/>
    <cellStyle name="Result2" xfId="8" xr:uid="{00000000-0005-0000-0000-000007000000}"/>
    <cellStyle name="Standard" xfId="0" builtinId="0" customBuiltin="1"/>
  </cellStyles>
  <dxfs count="71"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color theme="4" tint="-0.24994659260841701"/>
      </font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4" tint="-0.24994659260841701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color theme="4" tint="-0.24994659260841701"/>
      </font>
    </dxf>
    <dxf>
      <font>
        <color theme="4" tint="-0.24994659260841701"/>
      </font>
    </dxf>
    <dxf>
      <font>
        <color rgb="FF9C0006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theme="7" tint="0.79998168889431442"/>
      </font>
      <fill>
        <patternFill>
          <bgColor rgb="FFFF0000"/>
        </patternFill>
      </fill>
    </dxf>
    <dxf>
      <font>
        <b/>
        <i val="0"/>
        <color theme="7" tint="0.59996337778862885"/>
      </font>
      <fill>
        <patternFill>
          <bgColor rgb="FFFF0000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>
          <bgColor theme="6" tint="0.79998168889431442"/>
        </patternFill>
      </fill>
    </dxf>
    <dxf>
      <font>
        <color theme="5" tint="-0.2499465926084170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  <family val="2"/>
      </font>
    </dxf>
    <dxf>
      <font>
        <color rgb="FF9C5700"/>
        <family val="2"/>
      </font>
      <fill>
        <patternFill patternType="solid">
          <fgColor rgb="FFFFEB9C"/>
          <bgColor rgb="FFFFEB9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  <family val="2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color rgb="FF000000"/>
        <family val="2"/>
      </font>
      <numFmt numFmtId="168" formatCode="[$-807]General"/>
      <fill>
        <patternFill patternType="none"/>
      </fill>
      <border>
        <left/>
        <right/>
        <top/>
        <bottom/>
      </border>
    </dxf>
    <dxf>
      <font>
        <color rgb="FF9C5700"/>
        <family val="2"/>
      </font>
      <fill>
        <patternFill patternType="solid">
          <fgColor rgb="FFFFEB9C"/>
          <bgColor rgb="FFFFEB9C"/>
        </patternFill>
      </fill>
    </dxf>
    <dxf>
      <font>
        <b val="0"/>
        <i val="0"/>
        <strike val="0"/>
        <outline val="0"/>
        <shadow val="0"/>
        <u val="none"/>
        <color rgb="FF000000"/>
        <family val="2"/>
      </font>
      <numFmt numFmtId="168" formatCode="[$-807]General"/>
      <fill>
        <patternFill patternType="none"/>
      </fill>
      <border>
        <left/>
        <right/>
        <top/>
        <bottom/>
      </border>
    </dxf>
    <dxf>
      <font>
        <color rgb="FF9C0006"/>
        <family val="2"/>
      </font>
    </dxf>
    <dxf>
      <font>
        <color rgb="FF006100"/>
      </font>
      <fill>
        <patternFill>
          <bgColor rgb="FFC6EFCE"/>
        </patternFill>
      </fill>
    </dxf>
    <dxf>
      <font>
        <color rgb="FF9C5700"/>
        <family val="2"/>
      </font>
      <fill>
        <patternFill patternType="solid">
          <fgColor rgb="FFFFEB9C"/>
          <bgColor rgb="FFFFEB9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99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o.remove.bg/downloads/7f04bc21-b8ce-4703-b3d3-3d3c76c166c4/mobilelektro_12200-removebg-preview.png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694080</xdr:colOff>
      <xdr:row>13</xdr:row>
      <xdr:rowOff>0</xdr:rowOff>
    </xdr:from>
    <xdr:ext cx="184320" cy="29448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4605" y="1201470"/>
          <a:ext cx="184320" cy="294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  <a:defRPr sz="1800"/>
          </a:pPr>
          <a:endParaRPr lang="de-CH" sz="1800" kern="1200">
            <a:latin typeface="Times New Roman" pitchFamily="18"/>
          </a:endParaRPr>
        </a:p>
      </xdr:txBody>
    </xdr:sp>
    <xdr:clientData/>
  </xdr:oneCellAnchor>
  <xdr:oneCellAnchor>
    <xdr:from>
      <xdr:col>15</xdr:col>
      <xdr:colOff>694080</xdr:colOff>
      <xdr:row>9</xdr:row>
      <xdr:rowOff>0</xdr:rowOff>
    </xdr:from>
    <xdr:ext cx="184320" cy="294480"/>
    <xdr:sp macro="" textlink="">
      <xdr:nvSpPr>
        <xdr:cNvPr id="3" name="Textfeld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72130" y="1201470"/>
          <a:ext cx="184320" cy="294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  <a:defRPr sz="1800"/>
          </a:pPr>
          <a:endParaRPr lang="de-CH" sz="1800" kern="1200">
            <a:latin typeface="Times New Roman" pitchFamily="18"/>
          </a:endParaRPr>
        </a:p>
      </xdr:txBody>
    </xdr:sp>
    <xdr:clientData/>
  </xdr:oneCellAnchor>
  <xdr:oneCellAnchor>
    <xdr:from>
      <xdr:col>16</xdr:col>
      <xdr:colOff>55905</xdr:colOff>
      <xdr:row>12</xdr:row>
      <xdr:rowOff>142875</xdr:rowOff>
    </xdr:from>
    <xdr:ext cx="184320" cy="294480"/>
    <xdr:sp macro="" textlink="">
      <xdr:nvSpPr>
        <xdr:cNvPr id="4" name="Textfeld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371980" y="2781300"/>
          <a:ext cx="184320" cy="294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  <a:defRPr sz="1800"/>
          </a:pPr>
          <a:endParaRPr lang="de-CH" sz="1800" kern="1200">
            <a:latin typeface="Times New Roman" pitchFamily="18"/>
          </a:endParaRPr>
        </a:p>
      </xdr:txBody>
    </xdr:sp>
    <xdr:clientData/>
  </xdr:oneCellAnchor>
  <xdr:twoCellAnchor>
    <xdr:from>
      <xdr:col>12</xdr:col>
      <xdr:colOff>342899</xdr:colOff>
      <xdr:row>5</xdr:row>
      <xdr:rowOff>238125</xdr:rowOff>
    </xdr:from>
    <xdr:to>
      <xdr:col>15</xdr:col>
      <xdr:colOff>390525</xdr:colOff>
      <xdr:row>9</xdr:row>
      <xdr:rowOff>0</xdr:rowOff>
    </xdr:to>
    <xdr:sp macro="" textlink="">
      <xdr:nvSpPr>
        <xdr:cNvPr id="5" name="Sprechblase: rechtecki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133613" y="1637717"/>
          <a:ext cx="2010943" cy="899043"/>
        </a:xfrm>
        <a:prstGeom prst="wedgeRectCallout">
          <a:avLst>
            <a:gd name="adj1" fmla="val -76473"/>
            <a:gd name="adj2" fmla="val -54104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000" b="0">
              <a:solidFill>
                <a:schemeClr val="bg1"/>
              </a:solidFill>
            </a:rPr>
            <a:t>1 </a:t>
          </a:r>
          <a:r>
            <a:rPr lang="de-CH" sz="1000" b="1">
              <a:solidFill>
                <a:schemeClr val="bg1"/>
              </a:solidFill>
            </a:rPr>
            <a:t>= I'M SOLAR </a:t>
          </a:r>
          <a:r>
            <a:rPr lang="de-CH" sz="1000" b="0">
              <a:solidFill>
                <a:schemeClr val="bg1"/>
              </a:solidFill>
            </a:rPr>
            <a:t>340W  Mono</a:t>
          </a:r>
          <a:endParaRPr lang="de-CH" sz="1000" b="1">
            <a:solidFill>
              <a:schemeClr val="bg1"/>
            </a:solidFill>
          </a:endParaRPr>
        </a:p>
        <a:p>
          <a:pPr algn="l"/>
          <a:r>
            <a:rPr lang="de-CH" sz="1000" b="0" baseline="0">
              <a:solidFill>
                <a:schemeClr val="bg2"/>
              </a:solidFill>
            </a:rPr>
            <a:t>2 =  </a:t>
          </a:r>
          <a:r>
            <a:rPr lang="de-CH" sz="1000" b="1" baseline="0">
              <a:solidFill>
                <a:schemeClr val="bg2"/>
              </a:solidFill>
            </a:rPr>
            <a:t>TRINA HoneyBlack 340W</a:t>
          </a:r>
        </a:p>
        <a:p>
          <a:pPr algn="l"/>
          <a:r>
            <a:rPr lang="de-CH" sz="900" b="0" baseline="0">
              <a:solidFill>
                <a:schemeClr val="bg2"/>
              </a:solidFill>
            </a:rPr>
            <a:t>3 =  </a:t>
          </a:r>
          <a:r>
            <a:rPr lang="de-CH" sz="900" b="1" baseline="0">
              <a:solidFill>
                <a:schemeClr val="bg2"/>
              </a:solidFill>
            </a:rPr>
            <a:t>AXITEC AXI AC-320MH/60S</a:t>
          </a:r>
        </a:p>
        <a:p>
          <a:pPr algn="l"/>
          <a:r>
            <a:rPr lang="de-CH" sz="900" b="0" baseline="0">
              <a:solidFill>
                <a:schemeClr val="bg2"/>
              </a:solidFill>
            </a:rPr>
            <a:t>4 =  Panasonic HIT N330  </a:t>
          </a:r>
          <a:r>
            <a:rPr lang="de-CH" sz="1100" b="0" baseline="0">
              <a:solidFill>
                <a:schemeClr val="bg2"/>
              </a:solidFill>
              <a:effectLst/>
              <a:latin typeface="+mn-lt"/>
              <a:ea typeface="+mn-ea"/>
              <a:cs typeface="+mn-cs"/>
            </a:rPr>
            <a:t>250W  </a:t>
          </a:r>
        </a:p>
        <a:p>
          <a:pPr algn="l"/>
          <a:r>
            <a:rPr lang="de-CH" sz="900" b="0" baseline="0">
              <a:solidFill>
                <a:schemeClr val="bg2"/>
              </a:solidFill>
            </a:rPr>
            <a:t>5 =  </a:t>
          </a:r>
          <a:r>
            <a:rPr lang="de-CH" sz="900" b="1" baseline="0">
              <a:solidFill>
                <a:schemeClr val="bg2"/>
              </a:solidFill>
            </a:rPr>
            <a:t>SHARP</a:t>
          </a:r>
          <a:r>
            <a:rPr lang="de-CH" sz="900" b="0" baseline="0">
              <a:solidFill>
                <a:schemeClr val="bg2"/>
              </a:solidFill>
            </a:rPr>
            <a:t> NU-AF370M60 / 300W</a:t>
          </a:r>
          <a:endParaRPr lang="de-CH" sz="1000" b="0">
            <a:solidFill>
              <a:schemeClr val="bg2"/>
            </a:solidFill>
          </a:endParaRPr>
        </a:p>
      </xdr:txBody>
    </xdr:sp>
    <xdr:clientData/>
  </xdr:twoCellAnchor>
  <xdr:twoCellAnchor>
    <xdr:from>
      <xdr:col>12</xdr:col>
      <xdr:colOff>323847</xdr:colOff>
      <xdr:row>0</xdr:row>
      <xdr:rowOff>87478</xdr:rowOff>
    </xdr:from>
    <xdr:to>
      <xdr:col>16</xdr:col>
      <xdr:colOff>233266</xdr:colOff>
      <xdr:row>2</xdr:row>
      <xdr:rowOff>311020</xdr:rowOff>
    </xdr:to>
    <xdr:sp macro="" textlink="">
      <xdr:nvSpPr>
        <xdr:cNvPr id="6" name="Sprechblase: rechtecki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211755" y="87478"/>
          <a:ext cx="2494776" cy="767828"/>
        </a:xfrm>
        <a:prstGeom prst="wedgeRectCallout">
          <a:avLst>
            <a:gd name="adj1" fmla="val -81542"/>
            <a:gd name="adj2" fmla="val -27532"/>
          </a:avLst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0">
              <a:solidFill>
                <a:schemeClr val="bg2"/>
              </a:solidFill>
            </a:rPr>
            <a:t>1 = </a:t>
          </a:r>
          <a:r>
            <a:rPr lang="de-CH" sz="900" b="0">
              <a:solidFill>
                <a:schemeClr val="bg2"/>
              </a:solidFill>
            </a:rPr>
            <a:t>AccuratTraction 24V 200Ah</a:t>
          </a:r>
        </a:p>
        <a:p>
          <a:pPr algn="l"/>
          <a:r>
            <a:rPr lang="de-CH" sz="900" b="1">
              <a:solidFill>
                <a:schemeClr val="bg1"/>
              </a:solidFill>
            </a:rPr>
            <a:t>2 =   SHUNBIN Livepo4 12V 100ah</a:t>
          </a:r>
        </a:p>
        <a:p>
          <a:pPr algn="l"/>
          <a:r>
            <a:rPr lang="de-CH" sz="900" b="0">
              <a:solidFill>
                <a:schemeClr val="bg2"/>
              </a:solidFill>
            </a:rPr>
            <a:t>3 =  </a:t>
          </a:r>
          <a:r>
            <a:rPr lang="de-CH" sz="900" b="0" baseline="0">
              <a:solidFill>
                <a:schemeClr val="bg2"/>
              </a:solidFill>
            </a:rPr>
            <a:t> Victron   </a:t>
          </a:r>
          <a:r>
            <a:rPr lang="de-CH" sz="900" b="1" baseline="0">
              <a:solidFill>
                <a:schemeClr val="bg2"/>
              </a:solidFill>
            </a:rPr>
            <a:t>LEAD CARBON </a:t>
          </a:r>
          <a:r>
            <a:rPr lang="de-CH" sz="900" b="0" baseline="0">
              <a:solidFill>
                <a:schemeClr val="bg2"/>
              </a:solidFill>
            </a:rPr>
            <a:t>12V 160Ah </a:t>
          </a:r>
        </a:p>
        <a:p>
          <a:pPr algn="l"/>
          <a:r>
            <a:rPr lang="de-CH" sz="1000" b="0">
              <a:solidFill>
                <a:schemeClr val="bg2"/>
              </a:solidFill>
            </a:rPr>
            <a:t>4 =  Victron  </a:t>
          </a:r>
          <a:r>
            <a:rPr lang="de-CH" sz="1100" b="0" u="none" strike="noStrike">
              <a:solidFill>
                <a:schemeClr val="bg2"/>
              </a:solidFill>
              <a:effectLst/>
              <a:latin typeface="+mn-lt"/>
              <a:ea typeface="+mn-ea"/>
              <a:cs typeface="+mn-cs"/>
            </a:rPr>
            <a:t>Batterie AGM Super Cycle </a:t>
          </a:r>
        </a:p>
        <a:p>
          <a:pPr algn="l"/>
          <a:r>
            <a:rPr lang="de-CH" sz="1100" b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de-CH" sz="1200" b="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333372</xdr:colOff>
      <xdr:row>3</xdr:row>
      <xdr:rowOff>76200</xdr:rowOff>
    </xdr:from>
    <xdr:to>
      <xdr:col>15</xdr:col>
      <xdr:colOff>390525</xdr:colOff>
      <xdr:row>5</xdr:row>
      <xdr:rowOff>238125</xdr:rowOff>
    </xdr:to>
    <xdr:sp macro="" textlink="">
      <xdr:nvSpPr>
        <xdr:cNvPr id="7" name="Sprechblase: rechtecki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249147" y="762000"/>
          <a:ext cx="2019303" cy="676275"/>
        </a:xfrm>
        <a:prstGeom prst="wedgeRectCallout">
          <a:avLst>
            <a:gd name="adj1" fmla="val -68005"/>
            <a:gd name="adj2" fmla="val -37950"/>
          </a:avLst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900" b="0">
              <a:solidFill>
                <a:schemeClr val="bg2"/>
              </a:solidFill>
            </a:rPr>
            <a:t>1 =  SolaX inverter X1 Boost 3000</a:t>
          </a:r>
        </a:p>
        <a:p>
          <a:pPr algn="l"/>
          <a:r>
            <a:rPr lang="de-CH" sz="1000" b="1">
              <a:solidFill>
                <a:schemeClr val="bg1"/>
              </a:solidFill>
            </a:rPr>
            <a:t>2 =  ALPHA Outback </a:t>
          </a:r>
          <a:r>
            <a:rPr lang="de-CH" sz="800" b="0">
              <a:solidFill>
                <a:schemeClr val="bg1"/>
              </a:solidFill>
            </a:rPr>
            <a:t>3000/24/ MPPT</a:t>
          </a:r>
          <a:endParaRPr lang="de-CH" sz="1000" b="0">
            <a:solidFill>
              <a:schemeClr val="bg1"/>
            </a:solidFill>
          </a:endParaRPr>
        </a:p>
        <a:p>
          <a:pPr algn="l"/>
          <a:r>
            <a:rPr lang="de-CH" sz="900" b="0">
              <a:solidFill>
                <a:schemeClr val="bg2"/>
              </a:solidFill>
            </a:rPr>
            <a:t>3 =  SolaxX1 Air X1-3.0</a:t>
          </a:r>
        </a:p>
        <a:p>
          <a:pPr algn="l"/>
          <a:r>
            <a:rPr lang="de-CH" sz="900" b="0">
              <a:solidFill>
                <a:schemeClr val="bg2"/>
              </a:solidFill>
            </a:rPr>
            <a:t>4 =  OPTI - Solar</a:t>
          </a:r>
          <a:r>
            <a:rPr lang="de-CH" sz="900" b="0" baseline="0">
              <a:solidFill>
                <a:schemeClr val="bg2"/>
              </a:solidFill>
            </a:rPr>
            <a:t> </a:t>
          </a:r>
          <a:r>
            <a:rPr lang="de-CH" sz="800" b="0" baseline="0">
              <a:solidFill>
                <a:schemeClr val="bg2"/>
              </a:solidFill>
            </a:rPr>
            <a:t>3000VA/ MPPT</a:t>
          </a:r>
          <a:endParaRPr lang="de-CH" sz="900" b="0">
            <a:solidFill>
              <a:schemeClr val="bg2"/>
            </a:solidFill>
          </a:endParaRPr>
        </a:p>
      </xdr:txBody>
    </xdr:sp>
    <xdr:clientData/>
  </xdr:twoCellAnchor>
  <xdr:oneCellAnchor>
    <xdr:from>
      <xdr:col>10</xdr:col>
      <xdr:colOff>485776</xdr:colOff>
      <xdr:row>83</xdr:row>
      <xdr:rowOff>19050</xdr:rowOff>
    </xdr:from>
    <xdr:ext cx="1838324" cy="34290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868026" y="17687925"/>
          <a:ext cx="1838324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de-CH" sz="1600" b="1"/>
        </a:p>
      </xdr:txBody>
    </xdr:sp>
    <xdr:clientData/>
  </xdr:oneCellAnchor>
  <xdr:oneCellAnchor>
    <xdr:from>
      <xdr:col>8</xdr:col>
      <xdr:colOff>104775</xdr:colOff>
      <xdr:row>92</xdr:row>
      <xdr:rowOff>142876</xdr:rowOff>
    </xdr:from>
    <xdr:ext cx="4495800" cy="133350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258300" y="19545301"/>
          <a:ext cx="4495800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CH" sz="1100"/>
        </a:p>
      </xdr:txBody>
    </xdr:sp>
    <xdr:clientData/>
  </xdr:oneCellAnchor>
  <xdr:oneCellAnchor>
    <xdr:from>
      <xdr:col>9</xdr:col>
      <xdr:colOff>622041</xdr:colOff>
      <xdr:row>51</xdr:row>
      <xdr:rowOff>184669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021786" y="11877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7</xdr:col>
      <xdr:colOff>699796</xdr:colOff>
      <xdr:row>53</xdr:row>
      <xdr:rowOff>116633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408367" y="12197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9</xdr:col>
      <xdr:colOff>295275</xdr:colOff>
      <xdr:row>51</xdr:row>
      <xdr:rowOff>161925</xdr:rowOff>
    </xdr:from>
    <xdr:to>
      <xdr:col>10</xdr:col>
      <xdr:colOff>485775</xdr:colOff>
      <xdr:row>52</xdr:row>
      <xdr:rowOff>171450</xdr:rowOff>
    </xdr:to>
    <xdr:sp macro="" textlink="">
      <xdr:nvSpPr>
        <xdr:cNvPr id="9344" name="AutoShape 128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10706100" y="11706225"/>
          <a:ext cx="885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87474</xdr:colOff>
      <xdr:row>51</xdr:row>
      <xdr:rowOff>155511</xdr:rowOff>
    </xdr:from>
    <xdr:to>
      <xdr:col>10</xdr:col>
      <xdr:colOff>174949</xdr:colOff>
      <xdr:row>52</xdr:row>
      <xdr:rowOff>6842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187015" y="11847934"/>
          <a:ext cx="874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9</xdr:col>
      <xdr:colOff>116633</xdr:colOff>
      <xdr:row>48</xdr:row>
      <xdr:rowOff>252704</xdr:rowOff>
    </xdr:from>
    <xdr:to>
      <xdr:col>11</xdr:col>
      <xdr:colOff>913623</xdr:colOff>
      <xdr:row>54</xdr:row>
      <xdr:rowOff>84911</xdr:rowOff>
    </xdr:to>
    <xdr:pic>
      <xdr:nvPicPr>
        <xdr:cNvPr id="25" name="Grafik 24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6378" y="11274490"/>
          <a:ext cx="2089668" cy="108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631763</xdr:colOff>
      <xdr:row>44</xdr:row>
      <xdr:rowOff>145790</xdr:rowOff>
    </xdr:from>
    <xdr:ext cx="359616" cy="145791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 rot="10800000" flipV="1">
          <a:off x="11031508" y="10341428"/>
          <a:ext cx="359616" cy="14579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CH" sz="1100">
              <a:solidFill>
                <a:schemeClr val="bg1"/>
              </a:solidFill>
            </a:rPr>
            <a:t>10</a:t>
          </a:r>
        </a:p>
      </xdr:txBody>
    </xdr:sp>
    <xdr:clientData/>
  </xdr:oneCellAnchor>
  <xdr:twoCellAnchor editAs="oneCell">
    <xdr:from>
      <xdr:col>7</xdr:col>
      <xdr:colOff>796990</xdr:colOff>
      <xdr:row>82</xdr:row>
      <xdr:rowOff>19441</xdr:rowOff>
    </xdr:from>
    <xdr:to>
      <xdr:col>20</xdr:col>
      <xdr:colOff>213443</xdr:colOff>
      <xdr:row>109</xdr:row>
      <xdr:rowOff>126353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2F93EDB-E544-4DC4-B426-EB10558C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05561" y="18078063"/>
          <a:ext cx="8734993" cy="5374821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72</xdr:row>
      <xdr:rowOff>0</xdr:rowOff>
    </xdr:from>
    <xdr:to>
      <xdr:col>33</xdr:col>
      <xdr:colOff>569030</xdr:colOff>
      <xdr:row>108</xdr:row>
      <xdr:rowOff>113588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28BB8346-A015-4481-B9C6-AAAF334CA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7372" y="15998112"/>
          <a:ext cx="7314286" cy="7247619"/>
        </a:xfrm>
        <a:prstGeom prst="rect">
          <a:avLst/>
        </a:prstGeom>
      </xdr:spPr>
    </xdr:pic>
    <xdr:clientData/>
  </xdr:twoCellAnchor>
  <xdr:twoCellAnchor editAs="oneCell">
    <xdr:from>
      <xdr:col>9</xdr:col>
      <xdr:colOff>48597</xdr:colOff>
      <xdr:row>28</xdr:row>
      <xdr:rowOff>9720</xdr:rowOff>
    </xdr:from>
    <xdr:to>
      <xdr:col>16</xdr:col>
      <xdr:colOff>373171</xdr:colOff>
      <xdr:row>54</xdr:row>
      <xdr:rowOff>146099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581508F7-EB1F-48A6-97DE-95897E937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342" y="6813291"/>
          <a:ext cx="5640056" cy="558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laugrü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reenakku.de/Montage/Montagepakete/Flachdach/BK-Solare-Zukunft-IROC-S3-Montagesystem-1x250-380Wp-Sued::1680.html" TargetMode="External"/><Relationship Id="rId13" Type="http://schemas.openxmlformats.org/officeDocument/2006/relationships/hyperlink" Target="https://www.ebay.com/itm/SOLAR-HYBRID-INVERTER-3000VA-DC24V-80A-charger-MPPT-with-without-batteries-OPTI-/292422232787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alma-solarshop.com/i-m-solar-solar-panels/1271-i-m-solar-solar-panel-340w-mono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www.merkasol.com/MPPT-SPC-III-3000-24-Outback-Power-Hybrid-Inverter" TargetMode="External"/><Relationship Id="rId12" Type="http://schemas.openxmlformats.org/officeDocument/2006/relationships/hyperlink" Target="https://www.amazon.de/dp/B07YBKW1ZH?psc=1&amp;pf_rd_p=e94b0a22-467e-4ecc-b451-41a8bd2cc6a6&amp;pf_rd_r=SEAN0KGEFW7CD0DJVFF3&amp;pd_rd_wg=Gwqkr&amp;pd_rd_i=B07YBKW1ZH&amp;pd_rd_w=b3sWN&amp;pd_rd_r=5a59be58-ee45-403d-a50b-dd531f406b88&amp;ref_=pd_luc_rh_crh_rh_sbs_02_01_t_img_lh" TargetMode="External"/><Relationship Id="rId17" Type="http://schemas.openxmlformats.org/officeDocument/2006/relationships/hyperlink" Target="https://www.swiss-victron.ch/de/batterie-plomb-carbone/29289020-blei-carbon-batterie-12v-160-ah.html" TargetMode="External"/><Relationship Id="rId2" Type="http://schemas.openxmlformats.org/officeDocument/2006/relationships/hyperlink" Target="https://www.europe-solarstore.com/solar-panels/manufacturer/sharp/sharp-nu-ba385.html" TargetMode="External"/><Relationship Id="rId16" Type="http://schemas.openxmlformats.org/officeDocument/2006/relationships/hyperlink" Target="https://www.swiss-victron.ch/de/batterie-plomb-carbone/29289020-blei-carbon-batterie-12v-160-ah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www.europe-solarstore.com/solar-panels/shttps:/www.europe-solarstore.com/download/axitec/Axitec_AXIpremium_310-320MH-datasheet.pdf" TargetMode="External"/><Relationship Id="rId6" Type="http://schemas.openxmlformats.org/officeDocument/2006/relationships/hyperlink" Target="https://greenakku.de/Montage/Montagepakete/Flachdach/BK-Solare-Zukunft-IROC-S3-Montagesystem-1x250-380Wp-Sued::1680.html" TargetMode="External"/><Relationship Id="rId11" Type="http://schemas.openxmlformats.org/officeDocument/2006/relationships/hyperlink" Target="https://eu-solar.panasonic.net/cps/rde/xbcr/solar_en/N250_245_Datasheet_EN.pdf" TargetMode="External"/><Relationship Id="rId5" Type="http://schemas.openxmlformats.org/officeDocument/2006/relationships/hyperlink" Target="https://www.amazon.de/gp/product/B087QNR98D/ref=ox_sc_act_title_1?smid=A23WGW9MK44YMX&amp;psc=1" TargetMode="External"/><Relationship Id="rId15" Type="http://schemas.openxmlformats.org/officeDocument/2006/relationships/hyperlink" Target="https://www.europe-solarstore.com/solar-panels/manufacturer/trina/trina-honeym-tsm-340de06m-08-ii.html" TargetMode="External"/><Relationship Id="rId10" Type="http://schemas.openxmlformats.org/officeDocument/2006/relationships/hyperlink" Target="https://www.photovoltaik4all.de/montagesysteme/schletter-singlefix-v-montagekit-fuer-trapezblech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europe-solarstore.com/solar-inverters/huawei/huawei-solar-inverters/huawei-sun2000l-2ktl.html" TargetMode="External"/><Relationship Id="rId9" Type="http://schemas.openxmlformats.org/officeDocument/2006/relationships/hyperlink" Target="https://greenakku.de/Montage/Montagepakete/Flachdach/3x250-380Wp-Montagepaket-Aufstaenderung-25-Grad::1352.html" TargetMode="External"/><Relationship Id="rId14" Type="http://schemas.openxmlformats.org/officeDocument/2006/relationships/hyperlink" Target="https://www.alma-solarshop.com/solax-power-inverter/928-solar-inverter-hybrid-solax-x1-air-boost-3k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M103"/>
  <sheetViews>
    <sheetView showGridLines="0" tabSelected="1" topLeftCell="A14" zoomScale="95" zoomScaleNormal="95" zoomScaleSheetLayoutView="100" workbookViewId="0">
      <selection activeCell="A44" sqref="A44"/>
    </sheetView>
  </sheetViews>
  <sheetFormatPr baseColWidth="10" defaultRowHeight="15" x14ac:dyDescent="0.25"/>
  <cols>
    <col min="1" max="1" width="54.125" style="4" customWidth="1"/>
    <col min="2" max="2" width="7.625" style="4" customWidth="1"/>
    <col min="3" max="3" width="12.5" style="4" customWidth="1"/>
    <col min="4" max="4" width="10.625" style="4" customWidth="1"/>
    <col min="5" max="5" width="9.625" style="4" customWidth="1"/>
    <col min="6" max="6" width="9.25" style="4" customWidth="1"/>
    <col min="7" max="7" width="10.625" style="4" customWidth="1"/>
    <col min="8" max="8" width="10.75" style="4" customWidth="1"/>
    <col min="9" max="9" width="11.5" style="4" customWidth="1"/>
    <col min="10" max="10" width="9.125" style="4" customWidth="1"/>
    <col min="11" max="11" width="7.75" style="4" customWidth="1"/>
    <col min="12" max="12" width="15.625" style="4" customWidth="1"/>
    <col min="13" max="13" width="13.375" style="4" customWidth="1"/>
    <col min="14" max="14" width="6.875" style="4" customWidth="1"/>
    <col min="15" max="15" width="8.625" style="4" customWidth="1"/>
    <col min="16" max="16" width="8.125" style="4" customWidth="1"/>
    <col min="17" max="17" width="7.75" style="103" customWidth="1"/>
    <col min="18" max="18" width="6" style="4" customWidth="1"/>
    <col min="19" max="19" width="7.5" style="103" customWidth="1"/>
    <col min="20" max="20" width="9" style="103" customWidth="1"/>
    <col min="21" max="21" width="8.125" style="103" customWidth="1"/>
    <col min="22" max="22" width="6.125" style="108" customWidth="1"/>
    <col min="23" max="23" width="8" style="4" customWidth="1"/>
    <col min="24" max="24" width="8.375" style="4" customWidth="1"/>
    <col min="25" max="25" width="4.75" style="4" customWidth="1"/>
    <col min="26" max="26" width="6.625" style="4" customWidth="1"/>
    <col min="27" max="1025" width="9.875" style="4" customWidth="1"/>
  </cols>
  <sheetData>
    <row r="1" spans="1:1025" ht="15.75" thickBot="1" x14ac:dyDescent="0.3"/>
    <row r="2" spans="1:1025" ht="27" customHeight="1" thickBot="1" x14ac:dyDescent="0.3">
      <c r="A2" s="374" t="s">
        <v>100</v>
      </c>
      <c r="B2" s="75" t="s">
        <v>26</v>
      </c>
      <c r="C2" s="219" t="s">
        <v>158</v>
      </c>
      <c r="D2" s="219" t="s">
        <v>157</v>
      </c>
      <c r="E2" s="217" t="s">
        <v>126</v>
      </c>
      <c r="F2" s="405" t="s">
        <v>37</v>
      </c>
      <c r="G2" s="413" t="s">
        <v>156</v>
      </c>
      <c r="H2" s="421" t="str">
        <f>IF(H3=0,"Battery override","re-set to 0")</f>
        <v>Battery override</v>
      </c>
      <c r="I2" s="418"/>
      <c r="J2" s="357">
        <v>2</v>
      </c>
      <c r="K2" s="478" t="s">
        <v>139</v>
      </c>
      <c r="L2" s="479"/>
      <c r="AMJ2"/>
      <c r="AMK2"/>
    </row>
    <row r="3" spans="1:1025" ht="27" thickBot="1" x14ac:dyDescent="0.3">
      <c r="A3" s="399" t="s">
        <v>78</v>
      </c>
      <c r="B3" s="220">
        <f>IF(H3&gt;0,H3,IF(J2=1,Q65,IF(J2=2,Q66,IF(J2=3,Q67,IF(J2=4,Q68,0)))))</f>
        <v>2</v>
      </c>
      <c r="C3" s="221">
        <f>J13</f>
        <v>2560</v>
      </c>
      <c r="D3" s="221">
        <f>E21</f>
        <v>1115.3855555555556</v>
      </c>
      <c r="E3" s="218">
        <f>C3/D3*O14/O15</f>
        <v>2.1078096237244712</v>
      </c>
      <c r="F3" s="406">
        <f>IF(H5&gt;0,H5,IF(J2=1,90,IF(J2=2,90,IF(J2=3,50,IF(J2=4,50,0)))))</f>
        <v>90</v>
      </c>
      <c r="G3" s="414">
        <f>L15</f>
        <v>25.6</v>
      </c>
      <c r="H3" s="422">
        <v>0</v>
      </c>
      <c r="I3" s="419"/>
      <c r="J3" s="475" t="str">
        <f>IF(J2=1,J65,IF(J2=2,J66,IF(J2=3,J67,IF(J2=4,J68,0))))</f>
        <v>SHUNBIN Livepo4  12V 100ah</v>
      </c>
      <c r="K3" s="476"/>
      <c r="L3" s="477"/>
      <c r="AMJ3"/>
      <c r="AMK3"/>
    </row>
    <row r="4" spans="1:1025" ht="22.5" customHeight="1" thickBot="1" x14ac:dyDescent="0.3">
      <c r="A4" s="431" t="str">
        <f>J3</f>
        <v>SHUNBIN Livepo4  12V 100ah</v>
      </c>
      <c r="B4" s="266">
        <f>F31</f>
        <v>3136.1200000000003</v>
      </c>
      <c r="C4" s="266">
        <f>F45</f>
        <v>1268.508</v>
      </c>
      <c r="D4" s="196">
        <f>B4+C4</f>
        <v>4404.6280000000006</v>
      </c>
      <c r="E4" s="194">
        <f>IF(H7=0,33.3,H7)</f>
        <v>33.299999999999997</v>
      </c>
      <c r="F4" s="407" t="s">
        <v>53</v>
      </c>
      <c r="G4" s="415" t="s">
        <v>127</v>
      </c>
      <c r="H4" s="423" t="str">
        <f>IF(H5=0,"DoD override","re-set to 0")</f>
        <v>DoD override</v>
      </c>
      <c r="I4" s="419"/>
      <c r="J4" s="233">
        <v>2</v>
      </c>
      <c r="K4" s="485" t="s">
        <v>140</v>
      </c>
      <c r="L4" s="486"/>
      <c r="U4" s="102"/>
      <c r="AMK4"/>
    </row>
    <row r="5" spans="1:1025" ht="18" customHeight="1" thickBot="1" x14ac:dyDescent="0.3">
      <c r="A5" s="432" t="str">
        <f>A24</f>
        <v>ALPHA OUTBACK SPC III 3000-24</v>
      </c>
      <c r="B5" s="88" t="s">
        <v>52</v>
      </c>
      <c r="C5" s="77" t="s">
        <v>0</v>
      </c>
      <c r="D5" s="76" t="s">
        <v>1</v>
      </c>
      <c r="E5" s="77" t="s">
        <v>24</v>
      </c>
      <c r="F5" s="408" t="s">
        <v>2</v>
      </c>
      <c r="G5" s="416" t="s">
        <v>34</v>
      </c>
      <c r="H5" s="424">
        <v>0</v>
      </c>
      <c r="I5" s="420" t="str">
        <f>IF(J4=4,"purchased","")</f>
        <v/>
      </c>
      <c r="J5" s="475" t="str">
        <f>IF(J4=1,J72,IF(J4=2,J73,IF(J4=3,J74,IF(J4=4,J75,0))))</f>
        <v>ALPHA OUTBACK SPC III 3000-24</v>
      </c>
      <c r="K5" s="476"/>
      <c r="L5" s="477"/>
      <c r="AMI5"/>
      <c r="AMJ5"/>
      <c r="AMK5"/>
    </row>
    <row r="6" spans="1:1025" ht="25.5" customHeight="1" thickBot="1" x14ac:dyDescent="0.3">
      <c r="A6" s="375" t="s">
        <v>58</v>
      </c>
      <c r="B6" s="223">
        <v>1</v>
      </c>
      <c r="C6" s="224">
        <v>230</v>
      </c>
      <c r="D6" s="225">
        <f>500</f>
        <v>500</v>
      </c>
      <c r="E6" s="226">
        <f t="shared" ref="E6:E18" si="0">B6*D6</f>
        <v>500</v>
      </c>
      <c r="F6" s="409">
        <v>0.5</v>
      </c>
      <c r="G6" s="417">
        <f t="shared" ref="G6:G18" si="1">E6*F6</f>
        <v>250</v>
      </c>
      <c r="H6" s="425" t="str">
        <f>IF(H7=0,"%sim override","re-set to 0")</f>
        <v>%sim override</v>
      </c>
      <c r="I6" s="419"/>
      <c r="J6" s="233">
        <v>1</v>
      </c>
      <c r="K6" s="483" t="s">
        <v>141</v>
      </c>
      <c r="L6" s="484"/>
      <c r="R6" s="191"/>
      <c r="AMI6"/>
      <c r="AMJ6"/>
      <c r="AMK6"/>
    </row>
    <row r="7" spans="1:1025" ht="19.5" thickBot="1" x14ac:dyDescent="0.3">
      <c r="A7" s="376" t="s">
        <v>35</v>
      </c>
      <c r="B7" s="227">
        <v>1</v>
      </c>
      <c r="C7" s="224">
        <v>230</v>
      </c>
      <c r="D7" s="228">
        <v>120</v>
      </c>
      <c r="E7" s="226">
        <f t="shared" si="0"/>
        <v>120</v>
      </c>
      <c r="F7" s="410">
        <v>8</v>
      </c>
      <c r="G7" s="417">
        <f t="shared" si="1"/>
        <v>960</v>
      </c>
      <c r="H7" s="426">
        <v>0</v>
      </c>
      <c r="I7" s="419"/>
      <c r="J7" s="475" t="str">
        <f>IF(J6=1,J58,IF(J6=2,J59,IF(J6=3,J60,IF(J6=4,J61,IF(J6=5,J62,0)))))</f>
        <v>I'M SOLAR 280P  Polycrystallin</v>
      </c>
      <c r="K7" s="476"/>
      <c r="L7" s="477"/>
      <c r="AMI7"/>
      <c r="AMJ7"/>
      <c r="AMK7"/>
    </row>
    <row r="8" spans="1:1025" ht="25.5" x14ac:dyDescent="0.25">
      <c r="A8" s="376" t="s">
        <v>59</v>
      </c>
      <c r="B8" s="229">
        <v>1</v>
      </c>
      <c r="C8" s="224">
        <v>230</v>
      </c>
      <c r="D8" s="228">
        <v>76</v>
      </c>
      <c r="E8" s="226">
        <f t="shared" si="0"/>
        <v>76</v>
      </c>
      <c r="F8" s="410">
        <v>2</v>
      </c>
      <c r="G8" s="412">
        <f t="shared" si="1"/>
        <v>152</v>
      </c>
      <c r="H8" s="403" t="str">
        <f>IF(H9&gt;0,"re-set to 0","Panel nos override")</f>
        <v>Panel nos override</v>
      </c>
      <c r="I8"/>
      <c r="AMI8"/>
      <c r="AMJ8"/>
      <c r="AMK8"/>
    </row>
    <row r="9" spans="1:1025" ht="18" x14ac:dyDescent="0.25">
      <c r="A9" s="376" t="s">
        <v>60</v>
      </c>
      <c r="B9" s="229">
        <v>1</v>
      </c>
      <c r="C9" s="224">
        <v>230</v>
      </c>
      <c r="D9" s="228">
        <v>416</v>
      </c>
      <c r="E9" s="226">
        <f t="shared" si="0"/>
        <v>416</v>
      </c>
      <c r="F9" s="410">
        <v>5</v>
      </c>
      <c r="G9" s="412">
        <f t="shared" si="1"/>
        <v>2080</v>
      </c>
      <c r="H9" s="404">
        <v>0</v>
      </c>
      <c r="I9"/>
      <c r="P9"/>
      <c r="T9" s="202"/>
      <c r="AMI9"/>
      <c r="AMJ9"/>
      <c r="AMK9"/>
    </row>
    <row r="10" spans="1:1025" ht="15.75" thickBot="1" x14ac:dyDescent="0.3">
      <c r="A10" s="376" t="s">
        <v>61</v>
      </c>
      <c r="B10" s="229">
        <v>1</v>
      </c>
      <c r="C10" s="224">
        <v>230</v>
      </c>
      <c r="D10" s="228">
        <v>196</v>
      </c>
      <c r="E10" s="226">
        <f t="shared" si="0"/>
        <v>196</v>
      </c>
      <c r="F10" s="410">
        <v>2</v>
      </c>
      <c r="G10" s="412">
        <f t="shared" si="1"/>
        <v>392</v>
      </c>
      <c r="H10" s="30"/>
      <c r="I10"/>
      <c r="P10"/>
      <c r="Q10" s="118"/>
      <c r="R10" s="1"/>
      <c r="S10" s="104"/>
      <c r="T10" s="102"/>
      <c r="AMI10"/>
      <c r="AMJ10"/>
      <c r="AMK10"/>
    </row>
    <row r="11" spans="1:1025" ht="15.75" thickBot="1" x14ac:dyDescent="0.3">
      <c r="A11" s="376" t="s">
        <v>62</v>
      </c>
      <c r="B11" s="227">
        <v>3</v>
      </c>
      <c r="C11" s="224">
        <v>230</v>
      </c>
      <c r="D11" s="228">
        <v>120</v>
      </c>
      <c r="E11" s="226">
        <f t="shared" si="0"/>
        <v>360</v>
      </c>
      <c r="F11" s="410">
        <v>3</v>
      </c>
      <c r="G11" s="412">
        <f t="shared" si="1"/>
        <v>1080</v>
      </c>
      <c r="H11" s="30"/>
      <c r="I11"/>
      <c r="J11" s="491" t="s">
        <v>104</v>
      </c>
      <c r="K11" s="489"/>
      <c r="L11" s="489"/>
      <c r="M11" s="489" t="str">
        <f>J3</f>
        <v>SHUNBIN Livepo4  12V 100ah</v>
      </c>
      <c r="N11" s="489"/>
      <c r="O11" s="490"/>
      <c r="P11"/>
      <c r="Q11" s="118"/>
      <c r="R11"/>
      <c r="S11" s="1"/>
      <c r="T11" s="104"/>
      <c r="AMI11"/>
      <c r="AMJ11"/>
      <c r="AMK11"/>
    </row>
    <row r="12" spans="1:1025" ht="15.75" x14ac:dyDescent="0.25">
      <c r="A12" s="376" t="s">
        <v>63</v>
      </c>
      <c r="B12" s="227">
        <v>2</v>
      </c>
      <c r="C12" s="224">
        <v>230</v>
      </c>
      <c r="D12" s="228">
        <f>60+25+32/B12</f>
        <v>101</v>
      </c>
      <c r="E12" s="226">
        <f t="shared" si="0"/>
        <v>202</v>
      </c>
      <c r="F12" s="410">
        <v>2</v>
      </c>
      <c r="G12" s="412">
        <f t="shared" si="1"/>
        <v>404</v>
      </c>
      <c r="H12" s="30"/>
      <c r="I12"/>
      <c r="J12" s="170" t="s">
        <v>51</v>
      </c>
      <c r="K12" s="171" t="s">
        <v>41</v>
      </c>
      <c r="L12" s="172" t="s">
        <v>47</v>
      </c>
      <c r="M12" s="368" t="s">
        <v>88</v>
      </c>
      <c r="N12" s="173" t="s">
        <v>44</v>
      </c>
      <c r="O12" s="174" t="s">
        <v>89</v>
      </c>
      <c r="P12"/>
      <c r="Q12" s="1"/>
      <c r="R12" s="2"/>
      <c r="S12" s="102"/>
      <c r="AMI12"/>
      <c r="AMJ12"/>
      <c r="AMK12"/>
    </row>
    <row r="13" spans="1:1025" ht="15.75" thickBot="1" x14ac:dyDescent="0.3">
      <c r="A13" s="376" t="s">
        <v>64</v>
      </c>
      <c r="B13" s="229">
        <v>1</v>
      </c>
      <c r="C13" s="224">
        <v>230</v>
      </c>
      <c r="D13" s="228">
        <v>254</v>
      </c>
      <c r="E13" s="226">
        <f t="shared" si="0"/>
        <v>254</v>
      </c>
      <c r="F13" s="410">
        <v>4</v>
      </c>
      <c r="G13" s="412">
        <f t="shared" si="1"/>
        <v>1016</v>
      </c>
      <c r="H13" s="30"/>
      <c r="I13"/>
      <c r="J13" s="163">
        <f>K13*L15</f>
        <v>2560</v>
      </c>
      <c r="K13" s="366">
        <f>IF(P7&gt;0,P7,IF(J2=1,N65,IF(J2=2,N66,IF(J2=3,N67,IF(J2=4,N68,0)))))</f>
        <v>100</v>
      </c>
      <c r="L13" s="193">
        <f>IF(J2=1,P65,IF(J2=2,P66,IF(J2=3,P67,IF(J2=4,P68,0))))</f>
        <v>12.8</v>
      </c>
      <c r="M13" s="369">
        <f>L15</f>
        <v>25.6</v>
      </c>
      <c r="N13" s="237">
        <v>3.2</v>
      </c>
      <c r="O13" s="367"/>
      <c r="Q13" s="114"/>
      <c r="R13" s="2"/>
      <c r="S13" s="102"/>
      <c r="T13" s="105"/>
      <c r="AMI13"/>
      <c r="AMJ13"/>
      <c r="AMK13"/>
    </row>
    <row r="14" spans="1:1025" x14ac:dyDescent="0.25">
      <c r="A14" s="376" t="s">
        <v>65</v>
      </c>
      <c r="B14" s="229">
        <v>1</v>
      </c>
      <c r="C14" s="224">
        <v>230</v>
      </c>
      <c r="D14" s="228">
        <v>74</v>
      </c>
      <c r="E14" s="226">
        <f t="shared" si="0"/>
        <v>74</v>
      </c>
      <c r="F14" s="410">
        <v>1</v>
      </c>
      <c r="G14" s="412">
        <f t="shared" si="1"/>
        <v>74</v>
      </c>
      <c r="H14" s="30"/>
      <c r="I14"/>
      <c r="J14" s="492" t="s">
        <v>46</v>
      </c>
      <c r="K14" s="493"/>
      <c r="L14" s="67" t="s">
        <v>81</v>
      </c>
      <c r="M14" s="171" t="s">
        <v>164</v>
      </c>
      <c r="N14" s="53" t="s">
        <v>37</v>
      </c>
      <c r="O14" s="164">
        <f>F3/100</f>
        <v>0.9</v>
      </c>
      <c r="Q14" s="5"/>
      <c r="R14" s="2"/>
      <c r="S14" s="102"/>
      <c r="T14" s="105"/>
      <c r="AMI14"/>
      <c r="AMJ14"/>
      <c r="AMK14"/>
    </row>
    <row r="15" spans="1:1025" ht="16.5" thickBot="1" x14ac:dyDescent="0.3">
      <c r="A15" s="376" t="s">
        <v>66</v>
      </c>
      <c r="B15" s="227">
        <v>2</v>
      </c>
      <c r="C15" s="224">
        <v>230</v>
      </c>
      <c r="D15" s="228">
        <v>100</v>
      </c>
      <c r="E15" s="226">
        <f t="shared" si="0"/>
        <v>200</v>
      </c>
      <c r="F15" s="410">
        <v>4</v>
      </c>
      <c r="G15" s="412">
        <f t="shared" si="1"/>
        <v>800</v>
      </c>
      <c r="H15" s="85"/>
      <c r="I15"/>
      <c r="J15" s="176">
        <f>B3</f>
        <v>2</v>
      </c>
      <c r="K15" s="175" t="s">
        <v>105</v>
      </c>
      <c r="L15" s="400">
        <f>IF(K16=1,L13*J15,L13)</f>
        <v>25.6</v>
      </c>
      <c r="M15" s="401">
        <f>IF(K16=1,K13,J15*K13)</f>
        <v>100</v>
      </c>
      <c r="N15" s="53" t="s">
        <v>28</v>
      </c>
      <c r="O15" s="165">
        <f>IF(J2=1, 0.98,IF(J2=2,0.98,0.85))</f>
        <v>0.98</v>
      </c>
      <c r="Q15" s="114"/>
      <c r="R15" s="2"/>
      <c r="S15" s="102"/>
      <c r="T15" s="105"/>
      <c r="AMI15"/>
      <c r="AMJ15"/>
      <c r="AMK15"/>
    </row>
    <row r="16" spans="1:1025" x14ac:dyDescent="0.25">
      <c r="A16" s="376" t="s">
        <v>33</v>
      </c>
      <c r="B16" s="227">
        <v>7</v>
      </c>
      <c r="C16" s="224">
        <v>230</v>
      </c>
      <c r="D16" s="228">
        <v>20</v>
      </c>
      <c r="E16" s="226">
        <f t="shared" si="0"/>
        <v>140</v>
      </c>
      <c r="F16" s="410">
        <v>3</v>
      </c>
      <c r="G16" s="412">
        <f t="shared" si="1"/>
        <v>420</v>
      </c>
      <c r="H16" s="497" t="str">
        <f>IF(K16&gt;0,"Check config.!",IF(K17&gt;0,"Check config.!","Select connection"))</f>
        <v>Check config.!</v>
      </c>
      <c r="I16" s="497"/>
      <c r="J16" s="264" t="s">
        <v>38</v>
      </c>
      <c r="K16" s="234">
        <v>1</v>
      </c>
      <c r="L16" s="436" t="str">
        <f>IF(K16=1,"seriel","parallel")</f>
        <v>seriel</v>
      </c>
      <c r="M16" s="370">
        <f>IF(K16=1,K16*B3,L13)</f>
        <v>2</v>
      </c>
      <c r="N16" s="54" t="s">
        <v>29</v>
      </c>
      <c r="O16" s="165">
        <v>0.96</v>
      </c>
      <c r="P16"/>
      <c r="Q16" s="115"/>
      <c r="R16" s="2"/>
      <c r="S16" s="102"/>
      <c r="T16" s="105"/>
      <c r="AMI16"/>
      <c r="AMJ16"/>
      <c r="AMK16"/>
    </row>
    <row r="17" spans="1:1025" ht="15.75" thickBot="1" x14ac:dyDescent="0.3">
      <c r="A17" s="376" t="s">
        <v>32</v>
      </c>
      <c r="B17" s="227">
        <v>4</v>
      </c>
      <c r="C17" s="224">
        <v>230</v>
      </c>
      <c r="D17" s="228">
        <v>12</v>
      </c>
      <c r="E17" s="226">
        <f t="shared" si="0"/>
        <v>48</v>
      </c>
      <c r="F17" s="410">
        <v>0</v>
      </c>
      <c r="G17" s="412">
        <f t="shared" si="1"/>
        <v>0</v>
      </c>
      <c r="H17" s="498"/>
      <c r="I17" s="498"/>
      <c r="J17" s="265" t="s">
        <v>38</v>
      </c>
      <c r="K17" s="235">
        <v>0</v>
      </c>
      <c r="L17" s="177" t="str">
        <f>IF(K18=1,"","parallel")</f>
        <v/>
      </c>
      <c r="M17" s="370">
        <f>IF(K17=0,M16*K18,M16)</f>
        <v>2</v>
      </c>
      <c r="N17" s="427" t="s">
        <v>39</v>
      </c>
      <c r="O17" s="428">
        <v>0</v>
      </c>
      <c r="P17" s="154"/>
      <c r="Q17" s="5"/>
      <c r="R17" s="2"/>
      <c r="S17" s="102"/>
      <c r="T17" s="105"/>
      <c r="AMI17"/>
      <c r="AMJ17"/>
      <c r="AMK17"/>
    </row>
    <row r="18" spans="1:1025" ht="16.5" thickBot="1" x14ac:dyDescent="0.3">
      <c r="A18" s="377" t="s">
        <v>31</v>
      </c>
      <c r="B18" s="230">
        <v>2</v>
      </c>
      <c r="C18" s="231">
        <v>230</v>
      </c>
      <c r="D18" s="232">
        <v>60</v>
      </c>
      <c r="E18" s="261">
        <f t="shared" si="0"/>
        <v>120</v>
      </c>
      <c r="F18" s="411">
        <v>6</v>
      </c>
      <c r="G18" s="412">
        <f t="shared" si="1"/>
        <v>720</v>
      </c>
      <c r="H18" s="30"/>
      <c r="I18"/>
      <c r="J18" s="167" t="s">
        <v>49</v>
      </c>
      <c r="K18" s="236">
        <v>1</v>
      </c>
      <c r="L18" s="68">
        <f>O13/K18</f>
        <v>0</v>
      </c>
      <c r="M18" s="66" t="s">
        <v>148</v>
      </c>
      <c r="N18" s="54" t="s">
        <v>36</v>
      </c>
      <c r="O18" s="166">
        <f>E4/100</f>
        <v>0.33299999999999996</v>
      </c>
      <c r="P18"/>
      <c r="Q18" s="114"/>
      <c r="R18" s="3"/>
      <c r="S18" s="102"/>
      <c r="T18" s="105"/>
      <c r="AMI18"/>
      <c r="AMJ18"/>
      <c r="AMK18"/>
    </row>
    <row r="19" spans="1:1025" ht="15.75" thickBot="1" x14ac:dyDescent="0.3">
      <c r="A19" s="378"/>
      <c r="B19" s="379"/>
      <c r="C19" s="380"/>
      <c r="D19" s="381"/>
      <c r="E19" s="263">
        <f>SUM(E6:E18)</f>
        <v>2706</v>
      </c>
      <c r="F19" s="382">
        <f>AVERAGE(F6:F18)</f>
        <v>3.1153846153846154</v>
      </c>
      <c r="G19" s="383">
        <f>SUM(G6:G18)</f>
        <v>8348</v>
      </c>
      <c r="H19" s="34" t="s">
        <v>56</v>
      </c>
      <c r="I19" s="27"/>
      <c r="J19" s="494" t="s">
        <v>82</v>
      </c>
      <c r="K19" s="495"/>
      <c r="L19" s="199" t="s">
        <v>57</v>
      </c>
      <c r="M19" s="198" t="s">
        <v>147</v>
      </c>
      <c r="N19" s="168" t="s">
        <v>55</v>
      </c>
      <c r="O19" s="169" t="s">
        <v>54</v>
      </c>
      <c r="P19" s="429"/>
      <c r="Q19" s="114">
        <f>1</f>
        <v>1</v>
      </c>
      <c r="R19" s="3"/>
      <c r="S19" s="102"/>
      <c r="T19" s="105"/>
      <c r="U19" s="105"/>
      <c r="AMJ19"/>
      <c r="AMK19"/>
    </row>
    <row r="20" spans="1:1025" ht="15.75" thickBot="1" x14ac:dyDescent="0.3">
      <c r="A20" s="98"/>
      <c r="B20" s="7"/>
      <c r="C20" s="22"/>
      <c r="D20" s="16"/>
      <c r="E20" s="262" t="s">
        <v>68</v>
      </c>
      <c r="F20" s="373" t="s">
        <v>80</v>
      </c>
      <c r="G20" s="180" t="s">
        <v>110</v>
      </c>
      <c r="H20" s="42">
        <v>0</v>
      </c>
      <c r="I20" s="197"/>
      <c r="P20" s="430"/>
      <c r="Q20" s="116"/>
      <c r="R20" s="3"/>
      <c r="S20" s="102"/>
      <c r="T20" s="105"/>
      <c r="AMH20"/>
      <c r="AMI20"/>
      <c r="AMJ20"/>
      <c r="AMK20"/>
    </row>
    <row r="21" spans="1:1025" ht="18.75" customHeight="1" thickBot="1" x14ac:dyDescent="0.3">
      <c r="A21" s="98"/>
      <c r="B21" s="16"/>
      <c r="C21" s="16"/>
      <c r="D21" s="219" t="s">
        <v>136</v>
      </c>
      <c r="E21" s="222">
        <f>F21/100*E4*1.25</f>
        <v>1115.3855555555556</v>
      </c>
      <c r="F21" s="65">
        <f>(G19/F19)+G66*H21*H20</f>
        <v>2679.6049382716051</v>
      </c>
      <c r="G21" s="49" t="s">
        <v>67</v>
      </c>
      <c r="H21" s="43">
        <v>0.5</v>
      </c>
      <c r="I21" s="28"/>
      <c r="J21" s="487" t="s">
        <v>43</v>
      </c>
      <c r="K21" s="488"/>
      <c r="L21" s="488"/>
      <c r="M21" s="503" t="str">
        <f>A37</f>
        <v>I'M SOLAR 280P  Polycrystallin</v>
      </c>
      <c r="N21" s="503"/>
      <c r="O21" s="504"/>
      <c r="P21" s="153"/>
      <c r="Q21" s="117"/>
      <c r="R21" s="3"/>
      <c r="S21" s="102"/>
      <c r="T21" s="105"/>
      <c r="W21" s="4">
        <v>3</v>
      </c>
      <c r="AMH21"/>
      <c r="AMI21"/>
      <c r="AMJ21"/>
      <c r="AMK21"/>
    </row>
    <row r="22" spans="1:1025" ht="15.75" thickBot="1" x14ac:dyDescent="0.3">
      <c r="A22" s="142"/>
      <c r="B22" s="3"/>
      <c r="C22" s="22"/>
      <c r="H22" s="29"/>
      <c r="I22" s="29"/>
      <c r="J22" s="157" t="s">
        <v>21</v>
      </c>
      <c r="K22" s="52" t="s">
        <v>74</v>
      </c>
      <c r="L22" s="52" t="s">
        <v>73</v>
      </c>
      <c r="M22" s="52" t="s">
        <v>72</v>
      </c>
      <c r="N22" s="52" t="s">
        <v>125</v>
      </c>
      <c r="O22" s="158" t="s">
        <v>84</v>
      </c>
      <c r="P22" s="153"/>
      <c r="R22" s="200"/>
      <c r="W22" s="4" t="s">
        <v>165</v>
      </c>
      <c r="AMH22"/>
      <c r="AMI22"/>
      <c r="AMJ22"/>
      <c r="AMK22"/>
    </row>
    <row r="23" spans="1:1025" ht="19.5" customHeight="1" thickBot="1" x14ac:dyDescent="0.3">
      <c r="A23" s="89" t="s">
        <v>75</v>
      </c>
      <c r="B23" s="90" t="s">
        <v>16</v>
      </c>
      <c r="C23" s="91" t="s">
        <v>45</v>
      </c>
      <c r="D23" s="92" t="s">
        <v>30</v>
      </c>
      <c r="E23" s="93" t="s">
        <v>17</v>
      </c>
      <c r="F23" s="94" t="s">
        <v>17</v>
      </c>
      <c r="G23" s="95" t="s">
        <v>18</v>
      </c>
      <c r="H23" s="96" t="s">
        <v>19</v>
      </c>
      <c r="I23" s="73"/>
      <c r="J23" s="159">
        <f>IF(H3&gt;0,H3,B37)</f>
        <v>5</v>
      </c>
      <c r="K23" s="69">
        <f>IF(P22&gt;0,P22,IF(J6=1,N58,IF(J6=2,N59,IF(J6=3,N60,IF(J6=4,N61,IF(J6=5,N62,0))))))</f>
        <v>280</v>
      </c>
      <c r="L23" s="51">
        <f>L25*M25*J23</f>
        <v>1801.5100000000002</v>
      </c>
      <c r="M23" s="186">
        <f>E21/100*O26</f>
        <v>1115.3855555555556</v>
      </c>
      <c r="N23" s="184">
        <v>6.5</v>
      </c>
      <c r="O23" s="185">
        <f>J28/1000*K28/1000*2</f>
        <v>3.3466499999999999</v>
      </c>
      <c r="P23" s="153"/>
      <c r="AMJ23"/>
      <c r="AMK23"/>
    </row>
    <row r="24" spans="1:1025" ht="18.75" thickBot="1" x14ac:dyDescent="0.3">
      <c r="A24" s="433" t="str">
        <f>J5</f>
        <v>ALPHA OUTBACK SPC III 3000-24</v>
      </c>
      <c r="B24" s="86">
        <v>1</v>
      </c>
      <c r="C24" s="192" t="s">
        <v>123</v>
      </c>
      <c r="D24" s="204"/>
      <c r="E24" s="277">
        <f>IF(J4=1,T72,IF(J4=2,T73,IF(J4=3,T74,IF(J4=4,T75,0))))</f>
        <v>940.8</v>
      </c>
      <c r="F24" s="203">
        <f>B24*E24</f>
        <v>940.8</v>
      </c>
      <c r="G24" s="354">
        <v>8</v>
      </c>
      <c r="H24" s="272">
        <f t="shared" ref="H24:H30" si="2">B24*G24</f>
        <v>8</v>
      </c>
      <c r="I24" s="73"/>
      <c r="J24" s="190" t="s">
        <v>49</v>
      </c>
      <c r="K24" s="156" t="s">
        <v>83</v>
      </c>
      <c r="L24" s="70" t="s">
        <v>95</v>
      </c>
      <c r="M24" s="71" t="s">
        <v>124</v>
      </c>
      <c r="N24" s="16"/>
      <c r="O24" s="187"/>
      <c r="AMJ24"/>
      <c r="AMK24"/>
    </row>
    <row r="25" spans="1:1025" ht="18.75" customHeight="1" thickBot="1" x14ac:dyDescent="0.3">
      <c r="A25" s="434" t="str">
        <f>J3</f>
        <v>SHUNBIN Livepo4  12V 100ah</v>
      </c>
      <c r="B25" s="87">
        <f>B3</f>
        <v>2</v>
      </c>
      <c r="C25" s="192" t="s">
        <v>123</v>
      </c>
      <c r="D25" s="268"/>
      <c r="E25" s="269">
        <f>IF(J2=1,T65,IF(J2=2,T66,IF(J2=3,T67,IF(J2=4,T68,0))))</f>
        <v>1067.8600000000001</v>
      </c>
      <c r="F25" s="270">
        <f>B25*E25</f>
        <v>2135.7200000000003</v>
      </c>
      <c r="G25" s="271">
        <f>IF(J2=1,Y65,IF(J2=2,Y66,IF(J2=3,Y67,IF(J2=4,Y68,0))))</f>
        <v>16</v>
      </c>
      <c r="H25" s="272">
        <f t="shared" si="2"/>
        <v>32</v>
      </c>
      <c r="I25" s="73"/>
      <c r="J25" s="240">
        <v>1</v>
      </c>
      <c r="K25" s="72">
        <f>J23/J25</f>
        <v>5</v>
      </c>
      <c r="L25" s="243">
        <f>IF(J6=1,O58,IF(J6=2,O59,IF(J6=3,O60,IF(J6=4,O61,IF(J6=5,O62,0)))))</f>
        <v>38.33</v>
      </c>
      <c r="M25" s="243">
        <f>IF(J6=1,P58,IF(J6=2,P59,IF(J6=3,P60,IF(J6=4,P61,IF(J6=5,P62,0)))))</f>
        <v>9.4</v>
      </c>
      <c r="N25" s="501" t="s">
        <v>42</v>
      </c>
      <c r="O25" s="502"/>
      <c r="P25" s="101"/>
      <c r="AMJ25"/>
      <c r="AMK25"/>
    </row>
    <row r="26" spans="1:1025" ht="16.5" thickBot="1" x14ac:dyDescent="0.3">
      <c r="A26" s="359" t="s">
        <v>180</v>
      </c>
      <c r="B26" s="238">
        <v>1</v>
      </c>
      <c r="C26" s="273" t="str">
        <f>IF(B26=0,"Existing","")</f>
        <v/>
      </c>
      <c r="D26" s="274"/>
      <c r="E26" s="275">
        <v>20.85</v>
      </c>
      <c r="F26" s="270">
        <f t="shared" ref="F26:F30" si="3">B26*E26</f>
        <v>20.85</v>
      </c>
      <c r="G26" s="271">
        <v>0.75</v>
      </c>
      <c r="H26" s="272">
        <f t="shared" si="2"/>
        <v>0.75</v>
      </c>
      <c r="I26" s="32"/>
      <c r="J26" s="241">
        <v>1</v>
      </c>
      <c r="K26" s="242">
        <v>0</v>
      </c>
      <c r="L26" s="188">
        <f>IF(J26=1,L25*J23,L25)</f>
        <v>191.64999999999998</v>
      </c>
      <c r="M26" s="189">
        <f>IF(K26=J24,M25*K25,M25)</f>
        <v>9.4</v>
      </c>
      <c r="N26" s="141" t="s">
        <v>93</v>
      </c>
      <c r="O26" s="244">
        <v>100</v>
      </c>
      <c r="P26" s="101"/>
      <c r="Q26" s="122"/>
      <c r="R26" s="128"/>
      <c r="S26" s="121"/>
      <c r="T26" s="122"/>
      <c r="U26" s="123"/>
      <c r="V26" s="123"/>
      <c r="W26" s="129"/>
      <c r="AMJ26"/>
      <c r="AMK26"/>
    </row>
    <row r="27" spans="1:1025" ht="15.75" thickBot="1" x14ac:dyDescent="0.3">
      <c r="A27" s="359" t="s">
        <v>181</v>
      </c>
      <c r="B27" s="238">
        <v>1</v>
      </c>
      <c r="C27" s="273" t="str">
        <f>IF(B27=0,"Existing","")</f>
        <v/>
      </c>
      <c r="D27" s="274"/>
      <c r="E27" s="275">
        <v>20.85</v>
      </c>
      <c r="F27" s="270">
        <f t="shared" si="3"/>
        <v>20.85</v>
      </c>
      <c r="G27" s="271">
        <v>0.75</v>
      </c>
      <c r="H27" s="272">
        <f t="shared" si="2"/>
        <v>0.75</v>
      </c>
      <c r="I27" s="32"/>
      <c r="J27" s="481" t="s">
        <v>50</v>
      </c>
      <c r="K27" s="482"/>
      <c r="L27" s="482"/>
      <c r="M27" s="37" t="s">
        <v>133</v>
      </c>
      <c r="N27" s="140" t="s">
        <v>18</v>
      </c>
      <c r="O27" s="139" t="s">
        <v>19</v>
      </c>
      <c r="P27" s="101"/>
      <c r="Q27" s="122"/>
      <c r="R27" s="128"/>
      <c r="S27" s="121"/>
      <c r="T27" s="122"/>
      <c r="U27" s="123"/>
      <c r="V27" s="123"/>
      <c r="W27" s="129"/>
      <c r="AMJ27"/>
      <c r="AMK27"/>
    </row>
    <row r="28" spans="1:1025" ht="15.75" thickBot="1" x14ac:dyDescent="0.3">
      <c r="A28" s="359" t="s">
        <v>182</v>
      </c>
      <c r="B28" s="238">
        <v>2</v>
      </c>
      <c r="C28" s="273"/>
      <c r="D28" s="274"/>
      <c r="E28" s="276">
        <v>8.9499999999999993</v>
      </c>
      <c r="F28" s="277">
        <f t="shared" si="3"/>
        <v>17.899999999999999</v>
      </c>
      <c r="G28" s="271"/>
      <c r="H28" s="272">
        <f t="shared" si="2"/>
        <v>0</v>
      </c>
      <c r="I28" s="32"/>
      <c r="J28" s="160">
        <f>IF(J6=1,Q58,IF(J6=2,Q59,IF(J6=3,Q60,IF(J6=4,Q61,IF(J6=5,Q62,0)))))</f>
        <v>1665</v>
      </c>
      <c r="K28" s="160">
        <f>IF(J6=1,R58,IF(J6=2,R59,IF(J6=3,R60,IF(J6=4,R61,IF(J6=5,R62,0)))))</f>
        <v>1005</v>
      </c>
      <c r="L28" s="161">
        <f>IF(J6=1,S58,IF(J6=2,S59,IF(J6=3,S60,IF(J6=4,S61,IF(J6=5,S62,0)))))</f>
        <v>35</v>
      </c>
      <c r="M28" s="246" t="s">
        <v>142</v>
      </c>
      <c r="N28" s="245">
        <v>18</v>
      </c>
      <c r="O28" s="162">
        <f>J23*N28</f>
        <v>90</v>
      </c>
      <c r="P28" s="101"/>
      <c r="Q28" s="122"/>
      <c r="R28" s="128"/>
      <c r="S28" s="121"/>
      <c r="T28" s="122"/>
      <c r="U28" s="123"/>
      <c r="V28" s="123"/>
      <c r="W28" s="129"/>
      <c r="AMJ28"/>
      <c r="AMK28"/>
    </row>
    <row r="29" spans="1:1025" ht="15.75" thickBot="1" x14ac:dyDescent="0.3">
      <c r="A29" s="359" t="s">
        <v>179</v>
      </c>
      <c r="B29" s="238">
        <v>1</v>
      </c>
      <c r="C29" s="273" t="str">
        <f>IF(B29=0,"Existing","")</f>
        <v/>
      </c>
      <c r="D29" s="274"/>
      <c r="E29" s="275">
        <v>16.649999999999999</v>
      </c>
      <c r="F29" s="270">
        <f t="shared" si="3"/>
        <v>16.649999999999999</v>
      </c>
      <c r="G29" s="271">
        <v>0.05</v>
      </c>
      <c r="H29" s="272">
        <f t="shared" si="2"/>
        <v>0.05</v>
      </c>
      <c r="I29" s="32"/>
      <c r="L29" s="8"/>
      <c r="M29" s="8"/>
      <c r="N29" s="8"/>
      <c r="P29" s="100"/>
      <c r="Q29" s="99"/>
      <c r="R29" s="130"/>
      <c r="S29" s="121"/>
      <c r="T29" s="121"/>
      <c r="U29" s="122"/>
      <c r="V29" s="123"/>
      <c r="W29" s="129"/>
      <c r="AMK29"/>
    </row>
    <row r="30" spans="1:1025" ht="15.75" thickBot="1" x14ac:dyDescent="0.3">
      <c r="A30" s="360" t="s">
        <v>27</v>
      </c>
      <c r="B30" s="239">
        <v>1</v>
      </c>
      <c r="C30" s="278"/>
      <c r="D30" s="279"/>
      <c r="E30" s="276">
        <v>27.26</v>
      </c>
      <c r="F30" s="277">
        <f t="shared" si="3"/>
        <v>27.26</v>
      </c>
      <c r="G30" s="280">
        <v>0.05</v>
      </c>
      <c r="H30" s="281">
        <f t="shared" si="2"/>
        <v>0.05</v>
      </c>
      <c r="I30" s="32"/>
      <c r="N30" s="6"/>
      <c r="P30" s="125"/>
      <c r="Q30" s="127"/>
      <c r="R30" s="130"/>
      <c r="S30" s="121"/>
      <c r="T30" s="121"/>
      <c r="U30" s="122"/>
      <c r="V30" s="123"/>
      <c r="W30" s="129"/>
      <c r="AMK30"/>
    </row>
    <row r="31" spans="1:1025" ht="16.5" thickBot="1" x14ac:dyDescent="0.3">
      <c r="A31" s="23"/>
      <c r="B31" s="24"/>
      <c r="C31" s="24"/>
      <c r="D31" s="17"/>
      <c r="E31" s="56" t="s">
        <v>14</v>
      </c>
      <c r="F31" s="57">
        <f>SUM(F24:F28)</f>
        <v>3136.1200000000003</v>
      </c>
      <c r="G31" s="58" t="s">
        <v>48</v>
      </c>
      <c r="H31" s="47">
        <f>SUM(H24:H30)</f>
        <v>41.599999999999994</v>
      </c>
      <c r="I31" s="32"/>
      <c r="N31" s="6"/>
      <c r="Q31" s="99"/>
      <c r="R31" s="126"/>
      <c r="S31" s="121"/>
      <c r="T31" s="121"/>
      <c r="U31" s="123"/>
      <c r="V31" s="124"/>
      <c r="W31" s="125"/>
      <c r="AMK31"/>
    </row>
    <row r="32" spans="1:1025" ht="18" x14ac:dyDescent="0.25">
      <c r="A32" s="374" t="s">
        <v>76</v>
      </c>
      <c r="C32" s="36"/>
      <c r="I32" s="32"/>
      <c r="O32" s="6"/>
      <c r="P32" s="6"/>
      <c r="Q32" s="99"/>
      <c r="R32" s="125"/>
      <c r="S32" s="123"/>
      <c r="T32" s="123"/>
      <c r="U32" s="123"/>
      <c r="V32" s="124"/>
      <c r="W32" s="125"/>
      <c r="AMH32"/>
      <c r="AMI32"/>
      <c r="AMJ32"/>
      <c r="AMK32"/>
    </row>
    <row r="33" spans="1:1027" ht="15.75" thickBot="1" x14ac:dyDescent="0.3">
      <c r="A33" s="431" t="str">
        <f>A37</f>
        <v>I'M SOLAR 280P  Polycrystallin</v>
      </c>
      <c r="C33" s="36"/>
      <c r="I33" s="33"/>
      <c r="O33" s="6"/>
      <c r="P33" s="6"/>
      <c r="Q33" s="119"/>
      <c r="AMH33"/>
      <c r="AMI33"/>
      <c r="AMJ33"/>
      <c r="AMK33"/>
    </row>
    <row r="34" spans="1:1027" ht="18" x14ac:dyDescent="0.25">
      <c r="A34" s="374" t="s">
        <v>40</v>
      </c>
      <c r="B34" s="78"/>
      <c r="I34" s="16"/>
      <c r="M34" s="6"/>
      <c r="N34" s="6"/>
      <c r="O34" s="105"/>
      <c r="P34" s="6"/>
      <c r="Q34" s="105"/>
      <c r="R34" s="3"/>
      <c r="S34" s="102"/>
      <c r="T34" s="102"/>
      <c r="U34" s="105"/>
      <c r="V34" s="109"/>
      <c r="W34" s="6"/>
      <c r="AML34" s="4"/>
    </row>
    <row r="35" spans="1:1027" ht="15.75" thickBot="1" x14ac:dyDescent="0.3">
      <c r="O35" s="103"/>
      <c r="P35" s="6"/>
      <c r="Q35" s="105"/>
      <c r="R35" s="6"/>
      <c r="S35" s="105"/>
      <c r="T35" s="105"/>
      <c r="U35" s="105"/>
      <c r="V35" s="109"/>
      <c r="W35" s="6"/>
      <c r="X35" s="6"/>
      <c r="AML35" s="4"/>
      <c r="AMM35" s="4"/>
    </row>
    <row r="36" spans="1:1027" ht="18.75" thickBot="1" x14ac:dyDescent="0.3">
      <c r="A36" s="89" t="s">
        <v>77</v>
      </c>
      <c r="B36" s="143" t="s">
        <v>21</v>
      </c>
      <c r="C36" s="144" t="s">
        <v>71</v>
      </c>
      <c r="D36" s="91" t="s">
        <v>45</v>
      </c>
      <c r="E36" s="145" t="s">
        <v>17</v>
      </c>
      <c r="F36" s="146" t="s">
        <v>17</v>
      </c>
      <c r="G36" s="147" t="s">
        <v>18</v>
      </c>
      <c r="H36" s="148" t="s">
        <v>15</v>
      </c>
      <c r="I36" s="149" t="s">
        <v>19</v>
      </c>
      <c r="J36" s="12"/>
      <c r="K36" s="27"/>
      <c r="L36" s="27"/>
      <c r="M36" s="27"/>
      <c r="N36" s="27"/>
      <c r="O36" s="120"/>
      <c r="P36" s="6"/>
      <c r="R36" s="105"/>
      <c r="S36" s="105"/>
      <c r="T36" s="109"/>
      <c r="U36" s="6"/>
      <c r="V36" s="4"/>
      <c r="AMK36"/>
    </row>
    <row r="37" spans="1:1027" ht="16.5" thickBot="1" x14ac:dyDescent="0.3">
      <c r="A37" s="195" t="str">
        <f>IF(J6=1,J58,IF(J6=2,J59,IF(J6=3,J60,IF(J6=4,J61,IF(J6=5,J62,0)))))</f>
        <v>I'M SOLAR 280P  Polycrystallin</v>
      </c>
      <c r="B37" s="40">
        <f>IF(H9&gt;0,H9,D37)</f>
        <v>5</v>
      </c>
      <c r="C37" s="179">
        <f>L23/M23</f>
        <v>1.615145535126369</v>
      </c>
      <c r="D37" s="201">
        <f>IF(J6=1,W58,IF(J6=2,W59,IF(J6=3,W60,IF(J6=4,W61,IF(J6=5,W62,0)))))</f>
        <v>5</v>
      </c>
      <c r="E37" s="205">
        <f>IF(J6=1,T58,IF(J6=2,T59,IF(J6=3,T60,IF(J6=4,T61,IF(J6=5,T62,0)))))</f>
        <v>142</v>
      </c>
      <c r="F37" s="55">
        <f>B37*E37</f>
        <v>710</v>
      </c>
      <c r="G37" s="347">
        <v>18.5</v>
      </c>
      <c r="H37" s="348">
        <f>K23</f>
        <v>280</v>
      </c>
      <c r="I37" s="349">
        <f>B37*G37</f>
        <v>92.5</v>
      </c>
      <c r="J37" s="14"/>
      <c r="K37" s="27"/>
      <c r="M37" s="27"/>
      <c r="N37" s="27"/>
      <c r="O37" s="120"/>
      <c r="P37" s="27"/>
      <c r="R37" s="105"/>
      <c r="S37" s="105"/>
      <c r="T37" s="109"/>
      <c r="U37" s="6"/>
      <c r="V37" s="4"/>
      <c r="AMK37"/>
    </row>
    <row r="38" spans="1:1027" ht="15.75" thickBot="1" x14ac:dyDescent="0.3">
      <c r="A38" s="443" t="str">
        <f>N77</f>
        <v>Schletter SingleFix-V Montagekit</v>
      </c>
      <c r="B38" s="151">
        <f>IF(M77=5,B37,1)</f>
        <v>5</v>
      </c>
      <c r="C38" s="39"/>
      <c r="D38" s="247">
        <v>1</v>
      </c>
      <c r="E38" s="345">
        <f>273.28*1.1</f>
        <v>300.608</v>
      </c>
      <c r="F38" s="55">
        <f>E38*D38</f>
        <v>300.608</v>
      </c>
      <c r="G38" s="350">
        <v>0.5</v>
      </c>
      <c r="H38" s="350"/>
      <c r="I38" s="349">
        <f>B38*G38</f>
        <v>2.5</v>
      </c>
      <c r="J38" s="14"/>
      <c r="K38" s="27"/>
      <c r="L38" s="27"/>
      <c r="M38" s="27"/>
      <c r="N38" s="27"/>
      <c r="O38" s="120"/>
      <c r="P38" s="27"/>
      <c r="Q38" s="105"/>
      <c r="R38" s="105"/>
      <c r="S38" s="105"/>
      <c r="T38" s="109"/>
      <c r="U38" s="6"/>
      <c r="V38" s="4"/>
      <c r="AMK38"/>
    </row>
    <row r="39" spans="1:1027" ht="15.75" thickBot="1" x14ac:dyDescent="0.3">
      <c r="A39" s="444" t="s">
        <v>115</v>
      </c>
      <c r="B39" s="151">
        <f t="shared" ref="B39:B43" si="4">D39</f>
        <v>1</v>
      </c>
      <c r="C39" s="62"/>
      <c r="D39" s="248">
        <v>1</v>
      </c>
      <c r="E39" s="345">
        <v>67.400000000000006</v>
      </c>
      <c r="F39" s="55">
        <f t="shared" ref="F39:F43" si="5">D39*E39</f>
        <v>67.400000000000006</v>
      </c>
      <c r="G39" s="350">
        <v>0.1</v>
      </c>
      <c r="H39" s="350"/>
      <c r="I39" s="349">
        <f>B39*G39</f>
        <v>0.1</v>
      </c>
      <c r="J39" s="14"/>
      <c r="K39" s="63"/>
      <c r="L39" s="34"/>
      <c r="M39" s="64"/>
      <c r="N39" s="34"/>
      <c r="O39" s="107"/>
      <c r="P39" s="27"/>
      <c r="Q39" s="31"/>
      <c r="R39" s="10"/>
      <c r="S39" s="13"/>
      <c r="T39" s="110"/>
      <c r="U39" s="11"/>
      <c r="V39" s="4"/>
    </row>
    <row r="40" spans="1:1027" ht="15.75" thickBot="1" x14ac:dyDescent="0.3">
      <c r="A40" s="445" t="s">
        <v>176</v>
      </c>
      <c r="B40" s="151">
        <v>1</v>
      </c>
      <c r="C40" s="39"/>
      <c r="D40" s="248">
        <f>B40</f>
        <v>1</v>
      </c>
      <c r="E40" s="345">
        <v>107.5</v>
      </c>
      <c r="F40" s="55">
        <f t="shared" si="5"/>
        <v>107.5</v>
      </c>
      <c r="G40" s="350"/>
      <c r="H40" s="350"/>
      <c r="I40" s="349"/>
      <c r="J40" s="15"/>
      <c r="K40" s="63"/>
      <c r="L40" s="34"/>
      <c r="M40" s="34"/>
      <c r="N40" s="34"/>
      <c r="O40" s="107"/>
      <c r="P40" s="34"/>
      <c r="Q40" s="31"/>
      <c r="R40" s="10"/>
      <c r="S40" s="13"/>
      <c r="T40" s="110"/>
      <c r="U40" s="11"/>
      <c r="V40" s="4"/>
    </row>
    <row r="41" spans="1:1027" s="61" customFormat="1" ht="17.25" customHeight="1" thickBot="1" x14ac:dyDescent="0.25">
      <c r="A41" s="445" t="s">
        <v>177</v>
      </c>
      <c r="B41" s="151">
        <v>4</v>
      </c>
      <c r="C41" s="39" t="s">
        <v>22</v>
      </c>
      <c r="D41" s="248">
        <v>2</v>
      </c>
      <c r="E41" s="345">
        <v>10.5</v>
      </c>
      <c r="F41" s="55">
        <f>B41*E41</f>
        <v>42</v>
      </c>
      <c r="G41" s="350"/>
      <c r="H41" s="350"/>
      <c r="I41" s="349">
        <f>B41*G41</f>
        <v>0</v>
      </c>
      <c r="J41" s="35"/>
      <c r="K41" s="34"/>
      <c r="L41" s="34"/>
      <c r="M41" s="34"/>
      <c r="N41" s="34"/>
      <c r="O41" s="107"/>
      <c r="P41" s="34"/>
      <c r="Q41" s="107"/>
      <c r="R41" s="59"/>
      <c r="S41" s="59"/>
      <c r="T41" s="111"/>
      <c r="U41" s="60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</row>
    <row r="42" spans="1:1027" s="61" customFormat="1" ht="13.5" thickBot="1" x14ac:dyDescent="0.25">
      <c r="A42" s="445" t="s">
        <v>79</v>
      </c>
      <c r="B42" s="151">
        <f t="shared" si="4"/>
        <v>0</v>
      </c>
      <c r="C42" s="62"/>
      <c r="D42" s="248">
        <v>0</v>
      </c>
      <c r="E42" s="345">
        <f>22.9*1.07</f>
        <v>24.503</v>
      </c>
      <c r="F42" s="55">
        <f t="shared" si="5"/>
        <v>0</v>
      </c>
      <c r="G42" s="350">
        <v>1.5</v>
      </c>
      <c r="H42" s="350"/>
      <c r="I42" s="349">
        <f>B42*G42</f>
        <v>0</v>
      </c>
      <c r="J42" s="12"/>
      <c r="K42" s="34"/>
      <c r="L42" s="34"/>
      <c r="M42" s="34"/>
      <c r="N42" s="34"/>
      <c r="O42" s="107"/>
      <c r="P42" s="34"/>
      <c r="Q42" s="107"/>
      <c r="R42" s="59"/>
      <c r="S42" s="59"/>
      <c r="T42" s="111"/>
      <c r="U42" s="60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</row>
    <row r="43" spans="1:1027" s="61" customFormat="1" ht="15.75" thickBot="1" x14ac:dyDescent="0.3">
      <c r="A43" s="445" t="s">
        <v>183</v>
      </c>
      <c r="B43" s="152">
        <f t="shared" si="4"/>
        <v>1</v>
      </c>
      <c r="C43" s="150"/>
      <c r="D43" s="248">
        <v>1</v>
      </c>
      <c r="E43" s="346">
        <v>41</v>
      </c>
      <c r="F43" s="97">
        <f t="shared" si="5"/>
        <v>41</v>
      </c>
      <c r="G43" s="351">
        <v>1.5</v>
      </c>
      <c r="H43" s="352"/>
      <c r="I43" s="353">
        <f>B43*G43</f>
        <v>1.5</v>
      </c>
      <c r="J43" s="480"/>
      <c r="K43" s="480"/>
      <c r="L43" s="12"/>
      <c r="M43" s="34"/>
      <c r="N43" s="34"/>
      <c r="O43" s="34"/>
      <c r="P43" s="34"/>
      <c r="Q43" s="107"/>
      <c r="R43" s="59"/>
      <c r="S43" s="59"/>
      <c r="T43" s="111"/>
      <c r="U43" s="60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</row>
    <row r="44" spans="1:1027" s="61" customFormat="1" x14ac:dyDescent="0.25">
      <c r="A44" s="448"/>
      <c r="B44" s="449"/>
      <c r="C44" s="450"/>
      <c r="D44" s="451"/>
      <c r="E44" s="452"/>
      <c r="F44" s="453"/>
      <c r="G44" s="454"/>
      <c r="H44" s="454"/>
      <c r="I44" s="455"/>
      <c r="J44" s="440"/>
      <c r="K44" s="440"/>
      <c r="L44" s="12"/>
      <c r="M44" s="34"/>
      <c r="N44" s="34"/>
      <c r="O44" s="34"/>
      <c r="P44" s="34"/>
      <c r="Q44" s="107"/>
      <c r="R44" s="59"/>
      <c r="S44" s="59"/>
      <c r="T44" s="111"/>
      <c r="U44" s="60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  <c r="AFX44" s="34"/>
      <c r="AFY44" s="34"/>
      <c r="AFZ44" s="34"/>
      <c r="AGA44" s="34"/>
      <c r="AGB44" s="34"/>
      <c r="AGC44" s="34"/>
      <c r="AGD44" s="34"/>
      <c r="AGE44" s="34"/>
      <c r="AGF44" s="34"/>
      <c r="AGG44" s="34"/>
      <c r="AGH44" s="34"/>
      <c r="AGI44" s="34"/>
      <c r="AGJ44" s="34"/>
      <c r="AGK44" s="34"/>
      <c r="AGL44" s="34"/>
      <c r="AGM44" s="34"/>
      <c r="AGN44" s="34"/>
      <c r="AGO44" s="34"/>
      <c r="AGP44" s="34"/>
      <c r="AGQ44" s="34"/>
      <c r="AGR44" s="34"/>
      <c r="AGS44" s="34"/>
      <c r="AGT44" s="34"/>
      <c r="AGU44" s="34"/>
      <c r="AGV44" s="34"/>
      <c r="AGW44" s="34"/>
      <c r="AGX44" s="34"/>
      <c r="AGY44" s="34"/>
      <c r="AGZ44" s="34"/>
      <c r="AHA44" s="34"/>
      <c r="AHB44" s="34"/>
      <c r="AHC44" s="34"/>
      <c r="AHD44" s="34"/>
      <c r="AHE44" s="34"/>
      <c r="AHF44" s="34"/>
      <c r="AHG44" s="34"/>
      <c r="AHH44" s="34"/>
      <c r="AHI44" s="34"/>
      <c r="AHJ44" s="34"/>
      <c r="AHK44" s="34"/>
      <c r="AHL44" s="34"/>
      <c r="AHM44" s="34"/>
      <c r="AHN44" s="34"/>
      <c r="AHO44" s="34"/>
      <c r="AHP44" s="34"/>
      <c r="AHQ44" s="34"/>
      <c r="AHR44" s="34"/>
      <c r="AHS44" s="34"/>
      <c r="AHT44" s="34"/>
      <c r="AHU44" s="34"/>
      <c r="AHV44" s="34"/>
      <c r="AHW44" s="34"/>
      <c r="AHX44" s="34"/>
      <c r="AHY44" s="34"/>
      <c r="AHZ44" s="34"/>
      <c r="AIA44" s="34"/>
      <c r="AIB44" s="34"/>
      <c r="AIC44" s="34"/>
      <c r="AID44" s="34"/>
      <c r="AIE44" s="34"/>
      <c r="AIF44" s="34"/>
      <c r="AIG44" s="34"/>
      <c r="AIH44" s="34"/>
      <c r="AII44" s="34"/>
      <c r="AIJ44" s="34"/>
      <c r="AIK44" s="34"/>
      <c r="AIL44" s="34"/>
      <c r="AIM44" s="34"/>
      <c r="AIN44" s="34"/>
      <c r="AIO44" s="34"/>
      <c r="AIP44" s="34"/>
      <c r="AIQ44" s="34"/>
      <c r="AIR44" s="34"/>
      <c r="AIS44" s="34"/>
      <c r="AIT44" s="34"/>
      <c r="AIU44" s="34"/>
      <c r="AIV44" s="34"/>
      <c r="AIW44" s="34"/>
      <c r="AIX44" s="34"/>
      <c r="AIY44" s="34"/>
      <c r="AIZ44" s="34"/>
      <c r="AJA44" s="34"/>
      <c r="AJB44" s="34"/>
      <c r="AJC44" s="34"/>
      <c r="AJD44" s="34"/>
      <c r="AJE44" s="34"/>
      <c r="AJF44" s="34"/>
      <c r="AJG44" s="34"/>
      <c r="AJH44" s="34"/>
      <c r="AJI44" s="34"/>
      <c r="AJJ44" s="34"/>
      <c r="AJK44" s="34"/>
      <c r="AJL44" s="34"/>
      <c r="AJM44" s="34"/>
      <c r="AJN44" s="34"/>
      <c r="AJO44" s="34"/>
      <c r="AJP44" s="34"/>
      <c r="AJQ44" s="34"/>
      <c r="AJR44" s="34"/>
      <c r="AJS44" s="34"/>
      <c r="AJT44" s="34"/>
      <c r="AJU44" s="34"/>
      <c r="AJV44" s="34"/>
      <c r="AJW44" s="34"/>
      <c r="AJX44" s="34"/>
      <c r="AJY44" s="34"/>
      <c r="AJZ44" s="34"/>
      <c r="AKA44" s="34"/>
      <c r="AKB44" s="34"/>
      <c r="AKC44" s="34"/>
      <c r="AKD44" s="34"/>
      <c r="AKE44" s="34"/>
      <c r="AKF44" s="34"/>
      <c r="AKG44" s="34"/>
      <c r="AKH44" s="34"/>
      <c r="AKI44" s="34"/>
      <c r="AKJ44" s="34"/>
      <c r="AKK44" s="34"/>
      <c r="AKL44" s="34"/>
      <c r="AKM44" s="34"/>
      <c r="AKN44" s="34"/>
      <c r="AKO44" s="34"/>
      <c r="AKP44" s="34"/>
      <c r="AKQ44" s="34"/>
      <c r="AKR44" s="34"/>
      <c r="AKS44" s="34"/>
      <c r="AKT44" s="34"/>
      <c r="AKU44" s="34"/>
      <c r="AKV44" s="34"/>
      <c r="AKW44" s="34"/>
      <c r="AKX44" s="34"/>
      <c r="AKY44" s="34"/>
      <c r="AKZ44" s="34"/>
      <c r="ALA44" s="34"/>
      <c r="ALB44" s="34"/>
      <c r="ALC44" s="34"/>
      <c r="ALD44" s="34"/>
      <c r="ALE44" s="34"/>
      <c r="ALF44" s="34"/>
      <c r="ALG44" s="34"/>
      <c r="ALH44" s="34"/>
      <c r="ALI44" s="34"/>
      <c r="ALJ44" s="34"/>
      <c r="ALK44" s="34"/>
      <c r="ALL44" s="34"/>
      <c r="ALM44" s="34"/>
      <c r="ALN44" s="34"/>
      <c r="ALO44" s="34"/>
      <c r="ALP44" s="34"/>
      <c r="ALQ44" s="34"/>
      <c r="ALR44" s="34"/>
      <c r="ALS44" s="34"/>
      <c r="ALT44" s="34"/>
      <c r="ALU44" s="34"/>
      <c r="ALV44" s="34"/>
      <c r="ALW44" s="34"/>
      <c r="ALX44" s="34"/>
      <c r="ALY44" s="34"/>
      <c r="ALZ44" s="34"/>
      <c r="AMA44" s="34"/>
      <c r="AMB44" s="34"/>
      <c r="AMC44" s="34"/>
      <c r="AMD44" s="34"/>
      <c r="AME44" s="34"/>
      <c r="AMF44" s="34"/>
      <c r="AMG44" s="34"/>
      <c r="AMH44" s="34"/>
      <c r="AMI44" s="34"/>
      <c r="AMJ44" s="34"/>
      <c r="AMK44" s="34"/>
    </row>
    <row r="45" spans="1:1027" s="61" customFormat="1" ht="16.5" thickBot="1" x14ac:dyDescent="0.3">
      <c r="A45" s="18"/>
      <c r="B45" s="137">
        <f>SUM(B37:B37)</f>
        <v>5</v>
      </c>
      <c r="C45" s="19" t="s">
        <v>26</v>
      </c>
      <c r="D45" s="19"/>
      <c r="E45" s="56" t="s">
        <v>20</v>
      </c>
      <c r="F45" s="138">
        <f>SUM(F37:F43)</f>
        <v>1268.508</v>
      </c>
      <c r="G45" s="46"/>
      <c r="H45" s="134"/>
      <c r="I45" s="74">
        <f>SUM(I37:I43)</f>
        <v>96.6</v>
      </c>
      <c r="J45" s="9"/>
      <c r="K45" s="16"/>
      <c r="L45" s="12"/>
      <c r="M45" s="34"/>
      <c r="N45" s="34"/>
      <c r="O45" s="34"/>
      <c r="P45" s="34"/>
      <c r="Q45" s="107"/>
      <c r="R45" s="107"/>
      <c r="S45" s="107"/>
      <c r="T45" s="112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4"/>
      <c r="ALN45" s="34"/>
      <c r="ALO45" s="34"/>
      <c r="ALP45" s="34"/>
      <c r="ALQ45" s="34"/>
      <c r="ALR45" s="34"/>
      <c r="ALS45" s="34"/>
      <c r="ALT45" s="34"/>
      <c r="ALU45" s="34"/>
      <c r="ALV45" s="34"/>
      <c r="ALW45" s="34"/>
      <c r="ALX45" s="34"/>
      <c r="ALY45" s="34"/>
      <c r="ALZ45" s="34"/>
      <c r="AMA45" s="34"/>
      <c r="AMB45" s="34"/>
      <c r="AMC45" s="34"/>
      <c r="AMD45" s="34"/>
      <c r="AME45" s="34"/>
      <c r="AMF45" s="34"/>
      <c r="AMG45" s="34"/>
      <c r="AMH45" s="34"/>
      <c r="AMI45" s="34"/>
      <c r="AMJ45" s="34"/>
      <c r="AMK45" s="34"/>
    </row>
    <row r="46" spans="1:1027" s="61" customFormat="1" ht="15.75" thickBot="1" x14ac:dyDescent="0.3">
      <c r="A46" s="19"/>
      <c r="B46" s="20"/>
      <c r="C46" s="19"/>
      <c r="D46" s="19"/>
      <c r="E46" s="19"/>
      <c r="F46" s="19"/>
      <c r="G46" s="48"/>
      <c r="H46" s="135"/>
      <c r="I46" s="136"/>
      <c r="J46" s="16"/>
      <c r="K46" s="16"/>
      <c r="L46" s="12"/>
      <c r="M46" s="34"/>
      <c r="N46" s="34"/>
      <c r="O46" s="34"/>
      <c r="P46" s="34"/>
      <c r="Q46" s="107"/>
      <c r="R46" s="34"/>
      <c r="S46" s="107"/>
      <c r="T46" s="107"/>
      <c r="U46" s="107"/>
      <c r="V46" s="112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4"/>
      <c r="ALN46" s="34"/>
      <c r="ALO46" s="34"/>
      <c r="ALP46" s="34"/>
      <c r="ALQ46" s="34"/>
      <c r="ALR46" s="34"/>
      <c r="ALS46" s="34"/>
      <c r="ALT46" s="34"/>
      <c r="ALU46" s="34"/>
      <c r="ALV46" s="34"/>
      <c r="ALW46" s="34"/>
      <c r="ALX46" s="34"/>
      <c r="ALY46" s="34"/>
      <c r="ALZ46" s="34"/>
      <c r="AMA46" s="34"/>
      <c r="AMB46" s="34"/>
      <c r="AMC46" s="34"/>
      <c r="AMD46" s="34"/>
      <c r="AME46" s="34"/>
      <c r="AMF46" s="34"/>
      <c r="AMG46" s="34"/>
      <c r="AMH46" s="34"/>
      <c r="AMI46" s="34"/>
      <c r="AMJ46" s="34"/>
      <c r="AMK46" s="34"/>
      <c r="AML46" s="34"/>
      <c r="AMM46" s="34"/>
    </row>
    <row r="47" spans="1:1027" s="61" customFormat="1" ht="16.5" thickBot="1" x14ac:dyDescent="0.3">
      <c r="A47" s="21"/>
      <c r="B47" s="4"/>
      <c r="C47" s="4"/>
      <c r="D47" s="4"/>
      <c r="E47" s="182" t="s">
        <v>23</v>
      </c>
      <c r="F47" s="181">
        <f>F31+F45</f>
        <v>4404.6280000000006</v>
      </c>
      <c r="G47" s="183" t="s">
        <v>17</v>
      </c>
      <c r="H47" s="132"/>
      <c r="I47" s="133"/>
      <c r="J47" s="16"/>
      <c r="K47" s="16"/>
      <c r="L47" s="12"/>
      <c r="M47" s="4"/>
      <c r="N47" s="4"/>
      <c r="O47" s="4"/>
      <c r="P47" s="4"/>
      <c r="Q47" s="107"/>
      <c r="R47" s="34"/>
      <c r="S47" s="107"/>
      <c r="T47" s="107"/>
      <c r="U47" s="107"/>
      <c r="V47" s="112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/>
      <c r="PH47" s="34"/>
      <c r="PI47" s="34"/>
      <c r="PJ47" s="34"/>
      <c r="PK47" s="34"/>
      <c r="PL47" s="34"/>
      <c r="PM47" s="34"/>
      <c r="PN47" s="34"/>
      <c r="PO47" s="34"/>
      <c r="PP47" s="34"/>
      <c r="PQ47" s="34"/>
      <c r="PR47" s="34"/>
      <c r="PS47" s="34"/>
      <c r="PT47" s="34"/>
      <c r="PU47" s="34"/>
      <c r="PV47" s="34"/>
      <c r="PW47" s="34"/>
      <c r="PX47" s="34"/>
      <c r="PY47" s="34"/>
      <c r="PZ47" s="34"/>
      <c r="QA47" s="34"/>
      <c r="QB47" s="34"/>
      <c r="QC47" s="34"/>
      <c r="QD47" s="34"/>
      <c r="QE47" s="34"/>
      <c r="QF47" s="34"/>
      <c r="QG47" s="34"/>
      <c r="QH47" s="34"/>
      <c r="QI47" s="34"/>
      <c r="QJ47" s="34"/>
      <c r="QK47" s="34"/>
      <c r="QL47" s="34"/>
      <c r="QM47" s="34"/>
      <c r="QN47" s="34"/>
      <c r="QO47" s="34"/>
      <c r="QP47" s="34"/>
      <c r="QQ47" s="34"/>
      <c r="QR47" s="34"/>
      <c r="QS47" s="34"/>
      <c r="QT47" s="34"/>
      <c r="QU47" s="34"/>
      <c r="QV47" s="34"/>
      <c r="QW47" s="34"/>
      <c r="QX47" s="34"/>
      <c r="QY47" s="34"/>
      <c r="QZ47" s="34"/>
      <c r="RA47" s="34"/>
      <c r="RB47" s="34"/>
      <c r="RC47" s="34"/>
      <c r="RD47" s="34"/>
      <c r="RE47" s="34"/>
      <c r="RF47" s="34"/>
      <c r="RG47" s="34"/>
      <c r="RH47" s="34"/>
      <c r="RI47" s="34"/>
      <c r="RJ47" s="34"/>
      <c r="RK47" s="34"/>
      <c r="RL47" s="34"/>
      <c r="RM47" s="34"/>
      <c r="RN47" s="34"/>
      <c r="RO47" s="34"/>
      <c r="RP47" s="34"/>
      <c r="RQ47" s="34"/>
      <c r="RR47" s="34"/>
      <c r="RS47" s="34"/>
      <c r="RT47" s="34"/>
      <c r="RU47" s="34"/>
      <c r="RV47" s="34"/>
      <c r="RW47" s="34"/>
      <c r="RX47" s="34"/>
      <c r="RY47" s="34"/>
      <c r="RZ47" s="34"/>
      <c r="SA47" s="34"/>
      <c r="SB47" s="34"/>
      <c r="SC47" s="34"/>
      <c r="SD47" s="34"/>
      <c r="SE47" s="34"/>
      <c r="SF47" s="34"/>
      <c r="SG47" s="34"/>
      <c r="SH47" s="34"/>
      <c r="SI47" s="34"/>
      <c r="SJ47" s="34"/>
      <c r="SK47" s="34"/>
      <c r="SL47" s="34"/>
      <c r="SM47" s="34"/>
      <c r="SN47" s="34"/>
      <c r="SO47" s="34"/>
      <c r="SP47" s="34"/>
      <c r="SQ47" s="34"/>
      <c r="SR47" s="34"/>
      <c r="SS47" s="34"/>
      <c r="ST47" s="34"/>
      <c r="SU47" s="34"/>
      <c r="SV47" s="34"/>
      <c r="SW47" s="34"/>
      <c r="SX47" s="34"/>
      <c r="SY47" s="34"/>
      <c r="SZ47" s="34"/>
      <c r="TA47" s="34"/>
      <c r="TB47" s="34"/>
      <c r="TC47" s="34"/>
      <c r="TD47" s="34"/>
      <c r="TE47" s="34"/>
      <c r="TF47" s="34"/>
      <c r="TG47" s="34"/>
      <c r="TH47" s="34"/>
      <c r="TI47" s="34"/>
      <c r="TJ47" s="34"/>
      <c r="TK47" s="34"/>
      <c r="TL47" s="34"/>
      <c r="TM47" s="34"/>
      <c r="TN47" s="34"/>
      <c r="TO47" s="34"/>
      <c r="TP47" s="34"/>
      <c r="TQ47" s="34"/>
      <c r="TR47" s="34"/>
      <c r="TS47" s="34"/>
      <c r="TT47" s="34"/>
      <c r="TU47" s="34"/>
      <c r="TV47" s="34"/>
      <c r="TW47" s="34"/>
      <c r="TX47" s="34"/>
      <c r="TY47" s="34"/>
      <c r="TZ47" s="34"/>
      <c r="UA47" s="34"/>
      <c r="UB47" s="34"/>
      <c r="UC47" s="34"/>
      <c r="UD47" s="34"/>
      <c r="UE47" s="34"/>
      <c r="UF47" s="34"/>
      <c r="UG47" s="34"/>
      <c r="UH47" s="34"/>
      <c r="UI47" s="34"/>
      <c r="UJ47" s="34"/>
      <c r="UK47" s="34"/>
      <c r="UL47" s="34"/>
      <c r="UM47" s="34"/>
      <c r="UN47" s="34"/>
      <c r="UO47" s="34"/>
      <c r="UP47" s="34"/>
      <c r="UQ47" s="34"/>
      <c r="UR47" s="34"/>
      <c r="US47" s="34"/>
      <c r="UT47" s="34"/>
      <c r="UU47" s="34"/>
      <c r="UV47" s="34"/>
      <c r="UW47" s="34"/>
      <c r="UX47" s="34"/>
      <c r="UY47" s="34"/>
      <c r="UZ47" s="34"/>
      <c r="VA47" s="34"/>
      <c r="VB47" s="34"/>
      <c r="VC47" s="34"/>
      <c r="VD47" s="34"/>
      <c r="VE47" s="34"/>
      <c r="VF47" s="34"/>
      <c r="VG47" s="34"/>
      <c r="VH47" s="34"/>
      <c r="VI47" s="34"/>
      <c r="VJ47" s="34"/>
      <c r="VK47" s="34"/>
      <c r="VL47" s="34"/>
      <c r="VM47" s="34"/>
      <c r="VN47" s="34"/>
      <c r="VO47" s="34"/>
      <c r="VP47" s="34"/>
      <c r="VQ47" s="34"/>
      <c r="VR47" s="34"/>
      <c r="VS47" s="34"/>
      <c r="VT47" s="34"/>
      <c r="VU47" s="34"/>
      <c r="VV47" s="34"/>
      <c r="VW47" s="34"/>
      <c r="VX47" s="34"/>
      <c r="VY47" s="34"/>
      <c r="VZ47" s="34"/>
      <c r="WA47" s="34"/>
      <c r="WB47" s="34"/>
      <c r="WC47" s="34"/>
      <c r="WD47" s="34"/>
      <c r="WE47" s="34"/>
      <c r="WF47" s="34"/>
      <c r="WG47" s="34"/>
      <c r="WH47" s="34"/>
      <c r="WI47" s="34"/>
      <c r="WJ47" s="34"/>
      <c r="WK47" s="34"/>
      <c r="WL47" s="34"/>
      <c r="WM47" s="34"/>
      <c r="WN47" s="34"/>
      <c r="WO47" s="34"/>
      <c r="WP47" s="34"/>
      <c r="WQ47" s="34"/>
      <c r="WR47" s="34"/>
      <c r="WS47" s="34"/>
      <c r="WT47" s="34"/>
      <c r="WU47" s="34"/>
      <c r="WV47" s="34"/>
      <c r="WW47" s="34"/>
      <c r="WX47" s="34"/>
      <c r="WY47" s="34"/>
      <c r="WZ47" s="34"/>
      <c r="XA47" s="34"/>
      <c r="XB47" s="34"/>
      <c r="XC47" s="34"/>
      <c r="XD47" s="34"/>
      <c r="XE47" s="34"/>
      <c r="XF47" s="34"/>
      <c r="XG47" s="34"/>
      <c r="XH47" s="34"/>
      <c r="XI47" s="34"/>
      <c r="XJ47" s="34"/>
      <c r="XK47" s="34"/>
      <c r="XL47" s="34"/>
      <c r="XM47" s="34"/>
      <c r="XN47" s="34"/>
      <c r="XO47" s="34"/>
      <c r="XP47" s="34"/>
      <c r="XQ47" s="34"/>
      <c r="XR47" s="34"/>
      <c r="XS47" s="34"/>
      <c r="XT47" s="34"/>
      <c r="XU47" s="34"/>
      <c r="XV47" s="34"/>
      <c r="XW47" s="34"/>
      <c r="XX47" s="34"/>
      <c r="XY47" s="34"/>
      <c r="XZ47" s="34"/>
      <c r="YA47" s="34"/>
      <c r="YB47" s="34"/>
      <c r="YC47" s="34"/>
      <c r="YD47" s="34"/>
      <c r="YE47" s="34"/>
      <c r="YF47" s="34"/>
      <c r="YG47" s="34"/>
      <c r="YH47" s="34"/>
      <c r="YI47" s="34"/>
      <c r="YJ47" s="34"/>
      <c r="YK47" s="34"/>
      <c r="YL47" s="34"/>
      <c r="YM47" s="34"/>
      <c r="YN47" s="34"/>
      <c r="YO47" s="34"/>
      <c r="YP47" s="34"/>
      <c r="YQ47" s="34"/>
      <c r="YR47" s="34"/>
      <c r="YS47" s="34"/>
      <c r="YT47" s="34"/>
      <c r="YU47" s="34"/>
      <c r="YV47" s="34"/>
      <c r="YW47" s="34"/>
      <c r="YX47" s="34"/>
      <c r="YY47" s="34"/>
      <c r="YZ47" s="34"/>
      <c r="ZA47" s="34"/>
      <c r="ZB47" s="34"/>
      <c r="ZC47" s="34"/>
      <c r="ZD47" s="34"/>
      <c r="ZE47" s="34"/>
      <c r="ZF47" s="34"/>
      <c r="ZG47" s="34"/>
      <c r="ZH47" s="34"/>
      <c r="ZI47" s="34"/>
      <c r="ZJ47" s="34"/>
      <c r="ZK47" s="34"/>
      <c r="ZL47" s="34"/>
      <c r="ZM47" s="34"/>
      <c r="ZN47" s="34"/>
      <c r="ZO47" s="34"/>
      <c r="ZP47" s="34"/>
      <c r="ZQ47" s="34"/>
      <c r="ZR47" s="34"/>
      <c r="ZS47" s="34"/>
      <c r="ZT47" s="34"/>
      <c r="ZU47" s="34"/>
      <c r="ZV47" s="34"/>
      <c r="ZW47" s="34"/>
      <c r="ZX47" s="34"/>
      <c r="ZY47" s="34"/>
      <c r="ZZ47" s="34"/>
      <c r="AAA47" s="34"/>
      <c r="AAB47" s="34"/>
      <c r="AAC47" s="34"/>
      <c r="AAD47" s="34"/>
      <c r="AAE47" s="34"/>
      <c r="AAF47" s="34"/>
      <c r="AAG47" s="34"/>
      <c r="AAH47" s="34"/>
      <c r="AAI47" s="34"/>
      <c r="AAJ47" s="34"/>
      <c r="AAK47" s="34"/>
      <c r="AAL47" s="34"/>
      <c r="AAM47" s="34"/>
      <c r="AAN47" s="34"/>
      <c r="AAO47" s="34"/>
      <c r="AAP47" s="34"/>
      <c r="AAQ47" s="34"/>
      <c r="AAR47" s="34"/>
      <c r="AAS47" s="34"/>
      <c r="AAT47" s="34"/>
      <c r="AAU47" s="34"/>
      <c r="AAV47" s="34"/>
      <c r="AAW47" s="34"/>
      <c r="AAX47" s="34"/>
      <c r="AAY47" s="34"/>
      <c r="AAZ47" s="34"/>
      <c r="ABA47" s="34"/>
      <c r="ABB47" s="34"/>
      <c r="ABC47" s="34"/>
      <c r="ABD47" s="34"/>
      <c r="ABE47" s="34"/>
      <c r="ABF47" s="34"/>
      <c r="ABG47" s="34"/>
      <c r="ABH47" s="34"/>
      <c r="ABI47" s="34"/>
      <c r="ABJ47" s="34"/>
      <c r="ABK47" s="34"/>
      <c r="ABL47" s="34"/>
      <c r="ABM47" s="34"/>
      <c r="ABN47" s="34"/>
      <c r="ABO47" s="34"/>
      <c r="ABP47" s="34"/>
      <c r="ABQ47" s="34"/>
      <c r="ABR47" s="34"/>
      <c r="ABS47" s="34"/>
      <c r="ABT47" s="34"/>
      <c r="ABU47" s="34"/>
      <c r="ABV47" s="34"/>
      <c r="ABW47" s="34"/>
      <c r="ABX47" s="34"/>
      <c r="ABY47" s="34"/>
      <c r="ABZ47" s="34"/>
      <c r="ACA47" s="34"/>
      <c r="ACB47" s="34"/>
      <c r="ACC47" s="34"/>
      <c r="ACD47" s="34"/>
      <c r="ACE47" s="34"/>
      <c r="ACF47" s="34"/>
      <c r="ACG47" s="34"/>
      <c r="ACH47" s="34"/>
      <c r="ACI47" s="34"/>
      <c r="ACJ47" s="34"/>
      <c r="ACK47" s="34"/>
      <c r="ACL47" s="34"/>
      <c r="ACM47" s="34"/>
      <c r="ACN47" s="34"/>
      <c r="ACO47" s="34"/>
      <c r="ACP47" s="34"/>
      <c r="ACQ47" s="34"/>
      <c r="ACR47" s="34"/>
      <c r="ACS47" s="34"/>
      <c r="ACT47" s="34"/>
      <c r="ACU47" s="34"/>
      <c r="ACV47" s="34"/>
      <c r="ACW47" s="34"/>
      <c r="ACX47" s="34"/>
      <c r="ACY47" s="34"/>
      <c r="ACZ47" s="34"/>
      <c r="ADA47" s="34"/>
      <c r="ADB47" s="34"/>
      <c r="ADC47" s="34"/>
      <c r="ADD47" s="34"/>
      <c r="ADE47" s="34"/>
      <c r="ADF47" s="34"/>
      <c r="ADG47" s="34"/>
      <c r="ADH47" s="34"/>
      <c r="ADI47" s="34"/>
      <c r="ADJ47" s="34"/>
      <c r="ADK47" s="34"/>
      <c r="ADL47" s="34"/>
      <c r="ADM47" s="34"/>
      <c r="ADN47" s="34"/>
      <c r="ADO47" s="34"/>
      <c r="ADP47" s="34"/>
      <c r="ADQ47" s="34"/>
      <c r="ADR47" s="34"/>
      <c r="ADS47" s="34"/>
      <c r="ADT47" s="34"/>
      <c r="ADU47" s="34"/>
      <c r="ADV47" s="34"/>
      <c r="ADW47" s="34"/>
      <c r="ADX47" s="34"/>
      <c r="ADY47" s="34"/>
      <c r="ADZ47" s="34"/>
      <c r="AEA47" s="34"/>
      <c r="AEB47" s="34"/>
      <c r="AEC47" s="34"/>
      <c r="AED47" s="34"/>
      <c r="AEE47" s="34"/>
      <c r="AEF47" s="34"/>
      <c r="AEG47" s="34"/>
      <c r="AEH47" s="34"/>
      <c r="AEI47" s="34"/>
      <c r="AEJ47" s="34"/>
      <c r="AEK47" s="34"/>
      <c r="AEL47" s="34"/>
      <c r="AEM47" s="34"/>
      <c r="AEN47" s="34"/>
      <c r="AEO47" s="34"/>
      <c r="AEP47" s="34"/>
      <c r="AEQ47" s="34"/>
      <c r="AER47" s="34"/>
      <c r="AES47" s="34"/>
      <c r="AET47" s="34"/>
      <c r="AEU47" s="34"/>
      <c r="AEV47" s="34"/>
      <c r="AEW47" s="34"/>
      <c r="AEX47" s="34"/>
      <c r="AEY47" s="34"/>
      <c r="AEZ47" s="34"/>
      <c r="AFA47" s="34"/>
      <c r="AFB47" s="34"/>
      <c r="AFC47" s="34"/>
      <c r="AFD47" s="34"/>
      <c r="AFE47" s="34"/>
      <c r="AFF47" s="34"/>
      <c r="AFG47" s="34"/>
      <c r="AFH47" s="34"/>
      <c r="AFI47" s="34"/>
      <c r="AFJ47" s="34"/>
      <c r="AFK47" s="34"/>
      <c r="AFL47" s="34"/>
      <c r="AFM47" s="34"/>
      <c r="AFN47" s="34"/>
      <c r="AFO47" s="34"/>
      <c r="AFP47" s="34"/>
      <c r="AFQ47" s="34"/>
      <c r="AFR47" s="34"/>
      <c r="AFS47" s="34"/>
      <c r="AFT47" s="34"/>
      <c r="AFU47" s="34"/>
      <c r="AFV47" s="34"/>
      <c r="AFW47" s="34"/>
      <c r="AFX47" s="34"/>
      <c r="AFY47" s="34"/>
      <c r="AFZ47" s="34"/>
      <c r="AGA47" s="34"/>
      <c r="AGB47" s="34"/>
      <c r="AGC47" s="34"/>
      <c r="AGD47" s="34"/>
      <c r="AGE47" s="34"/>
      <c r="AGF47" s="34"/>
      <c r="AGG47" s="34"/>
      <c r="AGH47" s="34"/>
      <c r="AGI47" s="34"/>
      <c r="AGJ47" s="34"/>
      <c r="AGK47" s="34"/>
      <c r="AGL47" s="34"/>
      <c r="AGM47" s="34"/>
      <c r="AGN47" s="34"/>
      <c r="AGO47" s="34"/>
      <c r="AGP47" s="34"/>
      <c r="AGQ47" s="34"/>
      <c r="AGR47" s="34"/>
      <c r="AGS47" s="34"/>
      <c r="AGT47" s="34"/>
      <c r="AGU47" s="34"/>
      <c r="AGV47" s="34"/>
      <c r="AGW47" s="34"/>
      <c r="AGX47" s="34"/>
      <c r="AGY47" s="34"/>
      <c r="AGZ47" s="34"/>
      <c r="AHA47" s="34"/>
      <c r="AHB47" s="34"/>
      <c r="AHC47" s="34"/>
      <c r="AHD47" s="34"/>
      <c r="AHE47" s="34"/>
      <c r="AHF47" s="34"/>
      <c r="AHG47" s="34"/>
      <c r="AHH47" s="34"/>
      <c r="AHI47" s="34"/>
      <c r="AHJ47" s="34"/>
      <c r="AHK47" s="34"/>
      <c r="AHL47" s="34"/>
      <c r="AHM47" s="34"/>
      <c r="AHN47" s="34"/>
      <c r="AHO47" s="34"/>
      <c r="AHP47" s="34"/>
      <c r="AHQ47" s="34"/>
      <c r="AHR47" s="34"/>
      <c r="AHS47" s="34"/>
      <c r="AHT47" s="34"/>
      <c r="AHU47" s="34"/>
      <c r="AHV47" s="34"/>
      <c r="AHW47" s="34"/>
      <c r="AHX47" s="34"/>
      <c r="AHY47" s="34"/>
      <c r="AHZ47" s="34"/>
      <c r="AIA47" s="34"/>
      <c r="AIB47" s="34"/>
      <c r="AIC47" s="34"/>
      <c r="AID47" s="34"/>
      <c r="AIE47" s="34"/>
      <c r="AIF47" s="34"/>
      <c r="AIG47" s="34"/>
      <c r="AIH47" s="34"/>
      <c r="AII47" s="34"/>
      <c r="AIJ47" s="34"/>
      <c r="AIK47" s="34"/>
      <c r="AIL47" s="34"/>
      <c r="AIM47" s="34"/>
      <c r="AIN47" s="34"/>
      <c r="AIO47" s="34"/>
      <c r="AIP47" s="34"/>
      <c r="AIQ47" s="34"/>
      <c r="AIR47" s="34"/>
      <c r="AIS47" s="34"/>
      <c r="AIT47" s="34"/>
      <c r="AIU47" s="34"/>
      <c r="AIV47" s="34"/>
      <c r="AIW47" s="34"/>
      <c r="AIX47" s="34"/>
      <c r="AIY47" s="34"/>
      <c r="AIZ47" s="34"/>
      <c r="AJA47" s="34"/>
      <c r="AJB47" s="34"/>
      <c r="AJC47" s="34"/>
      <c r="AJD47" s="34"/>
      <c r="AJE47" s="34"/>
      <c r="AJF47" s="34"/>
      <c r="AJG47" s="34"/>
      <c r="AJH47" s="34"/>
      <c r="AJI47" s="34"/>
      <c r="AJJ47" s="34"/>
      <c r="AJK47" s="34"/>
      <c r="AJL47" s="34"/>
      <c r="AJM47" s="34"/>
      <c r="AJN47" s="34"/>
      <c r="AJO47" s="34"/>
      <c r="AJP47" s="34"/>
      <c r="AJQ47" s="34"/>
      <c r="AJR47" s="34"/>
      <c r="AJS47" s="34"/>
      <c r="AJT47" s="34"/>
      <c r="AJU47" s="34"/>
      <c r="AJV47" s="34"/>
      <c r="AJW47" s="34"/>
      <c r="AJX47" s="34"/>
      <c r="AJY47" s="34"/>
      <c r="AJZ47" s="34"/>
      <c r="AKA47" s="34"/>
      <c r="AKB47" s="34"/>
      <c r="AKC47" s="34"/>
      <c r="AKD47" s="34"/>
      <c r="AKE47" s="34"/>
      <c r="AKF47" s="34"/>
      <c r="AKG47" s="34"/>
      <c r="AKH47" s="34"/>
      <c r="AKI47" s="34"/>
      <c r="AKJ47" s="34"/>
      <c r="AKK47" s="34"/>
      <c r="AKL47" s="34"/>
      <c r="AKM47" s="34"/>
      <c r="AKN47" s="34"/>
      <c r="AKO47" s="34"/>
      <c r="AKP47" s="34"/>
      <c r="AKQ47" s="34"/>
      <c r="AKR47" s="34"/>
      <c r="AKS47" s="34"/>
      <c r="AKT47" s="34"/>
      <c r="AKU47" s="34"/>
      <c r="AKV47" s="34"/>
      <c r="AKW47" s="34"/>
      <c r="AKX47" s="34"/>
      <c r="AKY47" s="34"/>
      <c r="AKZ47" s="34"/>
      <c r="ALA47" s="34"/>
      <c r="ALB47" s="34"/>
      <c r="ALC47" s="34"/>
      <c r="ALD47" s="34"/>
      <c r="ALE47" s="34"/>
      <c r="ALF47" s="34"/>
      <c r="ALG47" s="34"/>
      <c r="ALH47" s="34"/>
      <c r="ALI47" s="34"/>
      <c r="ALJ47" s="34"/>
      <c r="ALK47" s="34"/>
      <c r="ALL47" s="34"/>
      <c r="ALM47" s="34"/>
      <c r="ALN47" s="34"/>
      <c r="ALO47" s="34"/>
      <c r="ALP47" s="34"/>
      <c r="ALQ47" s="34"/>
      <c r="ALR47" s="34"/>
      <c r="ALS47" s="34"/>
      <c r="ALT47" s="34"/>
      <c r="ALU47" s="34"/>
      <c r="ALV47" s="34"/>
      <c r="ALW47" s="34"/>
      <c r="ALX47" s="34"/>
      <c r="ALY47" s="34"/>
      <c r="ALZ47" s="34"/>
      <c r="AMA47" s="34"/>
      <c r="AMB47" s="34"/>
      <c r="AMC47" s="34"/>
      <c r="AMD47" s="34"/>
      <c r="AME47" s="34"/>
      <c r="AMF47" s="34"/>
      <c r="AMG47" s="34"/>
      <c r="AMH47" s="34"/>
      <c r="AMI47" s="34"/>
      <c r="AMJ47" s="34"/>
      <c r="AMK47" s="34"/>
      <c r="AML47" s="34"/>
      <c r="AMM47" s="34"/>
    </row>
    <row r="48" spans="1:1027" s="61" customFormat="1" ht="15.75" thickBot="1" x14ac:dyDescent="0.3">
      <c r="A48" s="4"/>
      <c r="B48" s="20"/>
      <c r="C48" s="19"/>
      <c r="D48" s="19"/>
      <c r="E48" s="44"/>
      <c r="F48" s="45"/>
      <c r="G48" s="46"/>
      <c r="H48" s="46"/>
      <c r="I48" s="46"/>
      <c r="J48" s="16"/>
      <c r="K48" s="16"/>
      <c r="L48" s="12"/>
      <c r="M48" s="9"/>
      <c r="N48" s="9"/>
      <c r="O48" s="9"/>
      <c r="P48" s="9"/>
      <c r="Q48" s="107"/>
      <c r="R48" s="34"/>
      <c r="S48" s="107"/>
      <c r="T48" s="107"/>
      <c r="U48" s="107"/>
      <c r="V48" s="112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4"/>
      <c r="ALN48" s="34"/>
      <c r="ALO48" s="34"/>
      <c r="ALP48" s="34"/>
      <c r="ALQ48" s="34"/>
      <c r="ALR48" s="34"/>
      <c r="ALS48" s="34"/>
      <c r="ALT48" s="34"/>
      <c r="ALU48" s="34"/>
      <c r="ALV48" s="34"/>
      <c r="ALW48" s="34"/>
      <c r="ALX48" s="34"/>
      <c r="ALY48" s="34"/>
      <c r="ALZ48" s="34"/>
      <c r="AMA48" s="34"/>
      <c r="AMB48" s="34"/>
      <c r="AMC48" s="34"/>
      <c r="AMD48" s="34"/>
      <c r="AME48" s="34"/>
      <c r="AMF48" s="34"/>
      <c r="AMG48" s="34"/>
      <c r="AMH48" s="34"/>
      <c r="AMI48" s="34"/>
      <c r="AMJ48" s="34"/>
      <c r="AMK48" s="34"/>
      <c r="AML48" s="34"/>
      <c r="AMM48" s="34"/>
    </row>
    <row r="49" spans="1:1027" s="61" customFormat="1" ht="21" thickBot="1" x14ac:dyDescent="0.3">
      <c r="A49" s="80" t="s">
        <v>87</v>
      </c>
      <c r="B49" s="81" t="s">
        <v>21</v>
      </c>
      <c r="C49" s="82" t="s">
        <v>0</v>
      </c>
      <c r="D49" s="83" t="s">
        <v>45</v>
      </c>
      <c r="E49" s="82" t="s">
        <v>68</v>
      </c>
      <c r="F49" s="82" t="s">
        <v>69</v>
      </c>
      <c r="G49" s="84" t="s">
        <v>70</v>
      </c>
      <c r="H49" s="50" t="s">
        <v>18</v>
      </c>
      <c r="I49" s="16"/>
      <c r="J49" s="34"/>
      <c r="K49" s="34"/>
      <c r="L49" s="9"/>
      <c r="M49" s="9"/>
      <c r="N49" s="9"/>
      <c r="O49" s="9"/>
      <c r="P49" s="9"/>
      <c r="Q49" s="103"/>
      <c r="R49" s="34"/>
      <c r="S49" s="107"/>
      <c r="T49" s="107"/>
      <c r="U49" s="107"/>
      <c r="V49" s="112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  <c r="AMK49" s="34"/>
      <c r="AML49" s="34"/>
      <c r="AMM49" s="34"/>
    </row>
    <row r="50" spans="1:1027" ht="16.5" customHeight="1" x14ac:dyDescent="0.25">
      <c r="A50" s="446" t="s">
        <v>175</v>
      </c>
      <c r="B50" s="206">
        <v>1</v>
      </c>
      <c r="C50" s="207">
        <v>220</v>
      </c>
      <c r="D50" s="249">
        <v>0</v>
      </c>
      <c r="E50" s="250">
        <v>750</v>
      </c>
      <c r="F50" s="251">
        <v>1</v>
      </c>
      <c r="G50" s="208">
        <f t="shared" ref="G50:G61" si="6">B50*E50*F50</f>
        <v>750</v>
      </c>
      <c r="H50" s="258"/>
      <c r="I50" s="16"/>
      <c r="J50" s="155"/>
      <c r="K50" s="34" t="s">
        <v>102</v>
      </c>
      <c r="L50" s="16"/>
      <c r="M50" s="16"/>
      <c r="N50" s="16"/>
      <c r="O50" s="16"/>
      <c r="P50" s="9"/>
      <c r="Q50" s="10"/>
      <c r="AML50" s="4"/>
      <c r="AMM50" s="4"/>
    </row>
    <row r="51" spans="1:1027" x14ac:dyDescent="0.25">
      <c r="A51" s="446" t="s">
        <v>174</v>
      </c>
      <c r="B51" s="209">
        <v>1</v>
      </c>
      <c r="C51" s="210">
        <v>220</v>
      </c>
      <c r="D51" s="252">
        <v>1</v>
      </c>
      <c r="E51" s="253">
        <v>750</v>
      </c>
      <c r="F51" s="254">
        <v>1</v>
      </c>
      <c r="G51" s="211">
        <f>B51*E51*F51*0.6</f>
        <v>450</v>
      </c>
      <c r="H51" s="259">
        <v>12.5</v>
      </c>
      <c r="J51" s="155"/>
      <c r="K51" s="34"/>
      <c r="L51" s="16"/>
      <c r="M51" s="16"/>
      <c r="N51" s="16"/>
      <c r="O51" s="16"/>
      <c r="P51" s="16"/>
      <c r="Q51" s="10"/>
      <c r="R51" s="9"/>
      <c r="S51" s="10"/>
      <c r="T51" s="10"/>
      <c r="U51" s="10"/>
      <c r="V51" s="113"/>
      <c r="W51" s="11"/>
      <c r="AML51" s="4"/>
      <c r="AMM51" s="4"/>
    </row>
    <row r="52" spans="1:1027" x14ac:dyDescent="0.25">
      <c r="A52" s="446" t="s">
        <v>4</v>
      </c>
      <c r="B52" s="212">
        <v>1</v>
      </c>
      <c r="C52" s="210">
        <v>24</v>
      </c>
      <c r="D52" s="252">
        <v>1</v>
      </c>
      <c r="E52" s="253">
        <v>30</v>
      </c>
      <c r="F52" s="254">
        <v>2</v>
      </c>
      <c r="G52" s="211">
        <f t="shared" si="6"/>
        <v>60</v>
      </c>
      <c r="H52" s="260"/>
      <c r="J52" s="34"/>
      <c r="K52" s="34"/>
      <c r="L52" s="16"/>
      <c r="M52" s="16"/>
      <c r="N52" s="16"/>
      <c r="O52" s="9"/>
      <c r="P52" s="10"/>
      <c r="Q52" s="10"/>
      <c r="R52" s="10"/>
      <c r="S52" s="10"/>
      <c r="T52" s="106"/>
      <c r="U52" s="106"/>
      <c r="V52" s="113"/>
      <c r="AML52" s="4"/>
    </row>
    <row r="53" spans="1:1027" x14ac:dyDescent="0.25">
      <c r="A53" s="446" t="s">
        <v>85</v>
      </c>
      <c r="B53" s="212">
        <v>1</v>
      </c>
      <c r="C53" s="210">
        <v>24</v>
      </c>
      <c r="D53" s="252">
        <v>1</v>
      </c>
      <c r="E53" s="253">
        <v>15</v>
      </c>
      <c r="F53" s="254">
        <v>0.1</v>
      </c>
      <c r="G53" s="211">
        <f t="shared" si="6"/>
        <v>1.5</v>
      </c>
      <c r="H53" s="260"/>
      <c r="L53" s="16"/>
      <c r="M53" s="16"/>
      <c r="N53" s="16"/>
      <c r="O53" s="9"/>
      <c r="P53" s="10"/>
      <c r="Q53" s="10"/>
      <c r="R53" s="10"/>
      <c r="S53" s="10"/>
      <c r="T53" s="106"/>
      <c r="U53" s="106"/>
      <c r="V53" s="113"/>
      <c r="AML53" s="4"/>
    </row>
    <row r="54" spans="1:1027" x14ac:dyDescent="0.25">
      <c r="A54" s="446" t="s">
        <v>25</v>
      </c>
      <c r="B54" s="206">
        <f t="shared" ref="B54:B65" si="7">D54</f>
        <v>0</v>
      </c>
      <c r="C54" s="210">
        <v>220</v>
      </c>
      <c r="D54" s="252">
        <v>0</v>
      </c>
      <c r="E54" s="253">
        <v>1000</v>
      </c>
      <c r="F54" s="254">
        <v>0.5</v>
      </c>
      <c r="G54" s="211">
        <f t="shared" si="6"/>
        <v>0</v>
      </c>
      <c r="H54" s="260"/>
      <c r="I54"/>
      <c r="M54" s="16"/>
      <c r="O54" s="385"/>
      <c r="P54" s="385"/>
      <c r="Q54" s="10"/>
      <c r="R54" s="10"/>
      <c r="S54" s="10"/>
      <c r="T54" s="106"/>
      <c r="U54" s="106"/>
      <c r="V54" s="113"/>
      <c r="AML54" s="4"/>
    </row>
    <row r="55" spans="1:1027" x14ac:dyDescent="0.25">
      <c r="A55" s="446" t="s">
        <v>5</v>
      </c>
      <c r="B55" s="213">
        <f t="shared" si="7"/>
        <v>0</v>
      </c>
      <c r="C55" s="210">
        <v>220</v>
      </c>
      <c r="D55" s="252">
        <v>0</v>
      </c>
      <c r="E55" s="253">
        <v>2500</v>
      </c>
      <c r="F55" s="254">
        <v>4</v>
      </c>
      <c r="G55" s="211">
        <f t="shared" si="6"/>
        <v>0</v>
      </c>
      <c r="H55" s="260"/>
      <c r="L55" s="16"/>
      <c r="M55" s="16"/>
      <c r="O55" s="16"/>
      <c r="Q55" s="10"/>
      <c r="R55" s="11"/>
      <c r="S55" s="106"/>
      <c r="AMJ55"/>
      <c r="AMK55"/>
    </row>
    <row r="56" spans="1:1027" ht="15.75" x14ac:dyDescent="0.25">
      <c r="A56" s="446" t="s">
        <v>6</v>
      </c>
      <c r="B56" s="213">
        <f t="shared" si="7"/>
        <v>0</v>
      </c>
      <c r="C56" s="210">
        <v>220</v>
      </c>
      <c r="D56" s="252">
        <v>0</v>
      </c>
      <c r="E56" s="253">
        <v>500</v>
      </c>
      <c r="F56" s="254">
        <v>4</v>
      </c>
      <c r="G56" s="211">
        <f t="shared" si="6"/>
        <v>0</v>
      </c>
      <c r="H56" s="260"/>
      <c r="J56" s="500" t="s">
        <v>98</v>
      </c>
      <c r="K56" s="500"/>
      <c r="L56" s="500"/>
      <c r="M56" s="191"/>
      <c r="N56" s="191"/>
      <c r="O56" s="191"/>
      <c r="P56" s="282"/>
      <c r="Q56" s="385"/>
      <c r="R56" s="11"/>
      <c r="S56" s="106"/>
      <c r="AMJ56"/>
      <c r="AMK56"/>
    </row>
    <row r="57" spans="1:1027" ht="16.5" thickBot="1" x14ac:dyDescent="0.3">
      <c r="A57" s="446" t="s">
        <v>7</v>
      </c>
      <c r="B57" s="213">
        <f t="shared" si="7"/>
        <v>0</v>
      </c>
      <c r="C57" s="210">
        <v>220</v>
      </c>
      <c r="D57" s="252">
        <v>0</v>
      </c>
      <c r="E57" s="253">
        <v>1500</v>
      </c>
      <c r="F57" s="254">
        <v>4</v>
      </c>
      <c r="G57" s="211">
        <f t="shared" si="6"/>
        <v>0</v>
      </c>
      <c r="H57" s="260"/>
      <c r="J57" s="463" t="s">
        <v>150</v>
      </c>
      <c r="K57" s="463"/>
      <c r="L57" s="463"/>
      <c r="M57" s="361"/>
      <c r="N57" s="285" t="s">
        <v>1</v>
      </c>
      <c r="O57" s="286" t="s">
        <v>95</v>
      </c>
      <c r="P57" s="287" t="s">
        <v>103</v>
      </c>
      <c r="Q57" s="285" t="s">
        <v>122</v>
      </c>
      <c r="R57" s="285" t="s">
        <v>135</v>
      </c>
      <c r="S57" s="285" t="s">
        <v>91</v>
      </c>
      <c r="T57" s="288" t="s">
        <v>17</v>
      </c>
      <c r="U57" s="285" t="s">
        <v>155</v>
      </c>
      <c r="V57" s="284"/>
      <c r="W57" s="285" t="s">
        <v>99</v>
      </c>
      <c r="X57" s="288" t="s">
        <v>111</v>
      </c>
      <c r="Y57" s="283" t="s">
        <v>18</v>
      </c>
      <c r="Z57" s="191"/>
      <c r="AA57" s="191"/>
      <c r="AMJ57"/>
      <c r="AMK57"/>
    </row>
    <row r="58" spans="1:1027" ht="16.5" customHeight="1" thickBot="1" x14ac:dyDescent="0.3">
      <c r="A58" s="446" t="s">
        <v>8</v>
      </c>
      <c r="B58" s="213">
        <f t="shared" si="7"/>
        <v>0</v>
      </c>
      <c r="C58" s="210">
        <v>220</v>
      </c>
      <c r="D58" s="252">
        <v>0</v>
      </c>
      <c r="E58" s="253">
        <v>2000</v>
      </c>
      <c r="F58" s="254">
        <v>8</v>
      </c>
      <c r="G58" s="211">
        <f t="shared" si="6"/>
        <v>0</v>
      </c>
      <c r="H58" s="260"/>
      <c r="I58" s="355">
        <v>1</v>
      </c>
      <c r="J58" s="464" t="s">
        <v>178</v>
      </c>
      <c r="K58" s="465"/>
      <c r="L58" s="466"/>
      <c r="M58" s="442" t="s">
        <v>143</v>
      </c>
      <c r="N58" s="290">
        <v>280</v>
      </c>
      <c r="O58" s="290">
        <v>38.33</v>
      </c>
      <c r="P58" s="290">
        <v>9.4</v>
      </c>
      <c r="Q58" s="437">
        <v>1665</v>
      </c>
      <c r="R58" s="438">
        <v>1005</v>
      </c>
      <c r="S58" s="439">
        <v>35</v>
      </c>
      <c r="T58" s="293">
        <v>142</v>
      </c>
      <c r="U58" s="441">
        <v>1802</v>
      </c>
      <c r="V58" s="295"/>
      <c r="W58" s="267">
        <v>5</v>
      </c>
      <c r="X58" s="358">
        <f>T58*W58</f>
        <v>710</v>
      </c>
      <c r="Y58" s="296">
        <v>19</v>
      </c>
      <c r="Z58" s="386">
        <f>W58*Y58</f>
        <v>95</v>
      </c>
      <c r="AA58" s="283"/>
      <c r="AMJ58"/>
      <c r="AMK58"/>
    </row>
    <row r="59" spans="1:1027" ht="16.5" thickBot="1" x14ac:dyDescent="0.3">
      <c r="A59" s="446" t="s">
        <v>9</v>
      </c>
      <c r="B59" s="213">
        <f t="shared" si="7"/>
        <v>0</v>
      </c>
      <c r="C59" s="210">
        <v>220</v>
      </c>
      <c r="D59" s="252">
        <v>0</v>
      </c>
      <c r="E59" s="253">
        <v>2500</v>
      </c>
      <c r="F59" s="254">
        <v>8</v>
      </c>
      <c r="G59" s="211">
        <f t="shared" si="6"/>
        <v>0</v>
      </c>
      <c r="H59" s="260"/>
      <c r="I59" s="289">
        <v>2</v>
      </c>
      <c r="J59" s="467" t="s">
        <v>172</v>
      </c>
      <c r="K59" s="467"/>
      <c r="L59" s="467"/>
      <c r="M59" s="362" t="s">
        <v>167</v>
      </c>
      <c r="N59" s="297">
        <v>320</v>
      </c>
      <c r="O59" s="297">
        <v>41.1</v>
      </c>
      <c r="P59" s="298">
        <v>10.55</v>
      </c>
      <c r="Q59" s="290">
        <v>1698</v>
      </c>
      <c r="R59" s="291">
        <v>1004</v>
      </c>
      <c r="S59" s="292">
        <v>35</v>
      </c>
      <c r="T59" s="293">
        <f>129*1.07</f>
        <v>138.03</v>
      </c>
      <c r="U59" s="294" t="s">
        <v>168</v>
      </c>
      <c r="V59" s="295"/>
      <c r="W59" s="267">
        <v>5</v>
      </c>
      <c r="X59" s="358">
        <f>T59*W59</f>
        <v>690.15</v>
      </c>
      <c r="Y59" s="299">
        <v>18.8</v>
      </c>
      <c r="Z59" s="387">
        <f>W59*Y59</f>
        <v>94</v>
      </c>
      <c r="AA59" s="283"/>
    </row>
    <row r="60" spans="1:1027" ht="16.5" thickBot="1" x14ac:dyDescent="0.3">
      <c r="A60" s="446" t="s">
        <v>10</v>
      </c>
      <c r="B60" s="213">
        <v>1</v>
      </c>
      <c r="C60" s="210">
        <v>220</v>
      </c>
      <c r="D60" s="252">
        <v>1</v>
      </c>
      <c r="E60" s="253">
        <v>180</v>
      </c>
      <c r="F60" s="254">
        <v>8</v>
      </c>
      <c r="G60" s="211">
        <f t="shared" si="6"/>
        <v>1440</v>
      </c>
      <c r="H60" s="260"/>
      <c r="I60" s="289">
        <v>3</v>
      </c>
      <c r="J60" s="467" t="s">
        <v>166</v>
      </c>
      <c r="K60" s="467"/>
      <c r="L60" s="467"/>
      <c r="M60" s="362" t="s">
        <v>121</v>
      </c>
      <c r="N60" s="300">
        <v>360</v>
      </c>
      <c r="O60" s="301">
        <v>47</v>
      </c>
      <c r="P60" s="301">
        <v>9.77</v>
      </c>
      <c r="Q60" s="290">
        <v>1956</v>
      </c>
      <c r="R60" s="291">
        <v>992</v>
      </c>
      <c r="S60" s="302">
        <v>40</v>
      </c>
      <c r="T60" s="293">
        <f>177*1.07</f>
        <v>189.39000000000001</v>
      </c>
      <c r="U60" s="294" t="s">
        <v>169</v>
      </c>
      <c r="V60" s="295"/>
      <c r="W60" s="267">
        <v>5</v>
      </c>
      <c r="X60" s="303">
        <f>T60*W60</f>
        <v>946.95</v>
      </c>
      <c r="Y60" s="299">
        <v>23</v>
      </c>
      <c r="Z60" s="387">
        <f>W60*Y60</f>
        <v>115</v>
      </c>
      <c r="AA60" s="283"/>
    </row>
    <row r="61" spans="1:1027" ht="16.5" thickBot="1" x14ac:dyDescent="0.3">
      <c r="A61" s="446" t="s">
        <v>3</v>
      </c>
      <c r="B61" s="213">
        <f t="shared" si="7"/>
        <v>1</v>
      </c>
      <c r="C61" s="210">
        <v>220</v>
      </c>
      <c r="D61" s="252">
        <v>1</v>
      </c>
      <c r="E61" s="253">
        <v>120</v>
      </c>
      <c r="F61" s="254">
        <v>8</v>
      </c>
      <c r="G61" s="211">
        <f t="shared" si="6"/>
        <v>960</v>
      </c>
      <c r="H61" s="260"/>
      <c r="I61" s="289">
        <v>4</v>
      </c>
      <c r="J61" s="468" t="s">
        <v>137</v>
      </c>
      <c r="K61" s="469"/>
      <c r="L61" s="470"/>
      <c r="M61" s="362" t="s">
        <v>121</v>
      </c>
      <c r="N61" s="297">
        <v>250</v>
      </c>
      <c r="O61" s="297">
        <v>53.2</v>
      </c>
      <c r="P61" s="301">
        <v>6.03</v>
      </c>
      <c r="Q61" s="290">
        <v>1580</v>
      </c>
      <c r="R61" s="291">
        <v>798</v>
      </c>
      <c r="S61" s="292">
        <v>35</v>
      </c>
      <c r="T61" s="293">
        <f>151*1.2</f>
        <v>181.2</v>
      </c>
      <c r="U61" s="294" t="s">
        <v>170</v>
      </c>
      <c r="V61" s="295"/>
      <c r="W61" s="267">
        <v>5</v>
      </c>
      <c r="X61" s="303">
        <f>T61*W61</f>
        <v>906</v>
      </c>
      <c r="Y61" s="296">
        <v>24</v>
      </c>
      <c r="Z61" s="387">
        <f>W61*Y61</f>
        <v>120</v>
      </c>
      <c r="AA61" s="283"/>
    </row>
    <row r="62" spans="1:1027" ht="16.5" thickBot="1" x14ac:dyDescent="0.3">
      <c r="A62" s="446" t="s">
        <v>11</v>
      </c>
      <c r="B62" s="213">
        <f t="shared" si="7"/>
        <v>0</v>
      </c>
      <c r="C62" s="210">
        <v>220</v>
      </c>
      <c r="D62" s="252">
        <v>0</v>
      </c>
      <c r="E62" s="253">
        <v>1200</v>
      </c>
      <c r="F62" s="254">
        <v>1.5</v>
      </c>
      <c r="G62" s="211">
        <f>B63*E63*F63</f>
        <v>0</v>
      </c>
      <c r="H62" s="260"/>
      <c r="I62" s="289">
        <v>5</v>
      </c>
      <c r="J62" s="468" t="s">
        <v>153</v>
      </c>
      <c r="K62" s="469"/>
      <c r="L62" s="470"/>
      <c r="M62" s="362" t="s">
        <v>121</v>
      </c>
      <c r="N62" s="300">
        <v>385</v>
      </c>
      <c r="O62" s="300">
        <v>48.15</v>
      </c>
      <c r="P62" s="300">
        <v>10.199999999999999</v>
      </c>
      <c r="Q62" s="290">
        <v>2010</v>
      </c>
      <c r="R62" s="291">
        <v>992</v>
      </c>
      <c r="S62" s="292">
        <v>40</v>
      </c>
      <c r="T62" s="293">
        <f>149*1.07</f>
        <v>159.43</v>
      </c>
      <c r="U62" s="356" t="s">
        <v>171</v>
      </c>
      <c r="V62" s="304"/>
      <c r="W62" s="267">
        <v>5</v>
      </c>
      <c r="X62" s="303">
        <f>T62*W62</f>
        <v>797.15000000000009</v>
      </c>
      <c r="Y62" s="296">
        <v>23</v>
      </c>
      <c r="Z62" s="387">
        <f>W62*Y62</f>
        <v>115</v>
      </c>
      <c r="AA62" s="283"/>
    </row>
    <row r="63" spans="1:1027" ht="15.75" x14ac:dyDescent="0.25">
      <c r="A63" s="446" t="s">
        <v>12</v>
      </c>
      <c r="B63" s="213">
        <f t="shared" si="7"/>
        <v>0</v>
      </c>
      <c r="C63" s="210">
        <v>220</v>
      </c>
      <c r="D63" s="252">
        <v>0</v>
      </c>
      <c r="E63" s="253">
        <v>200</v>
      </c>
      <c r="F63" s="254">
        <v>2</v>
      </c>
      <c r="G63" s="211">
        <f>B64*E64*F64</f>
        <v>0</v>
      </c>
      <c r="H63" s="260"/>
      <c r="I63" s="191"/>
      <c r="J63" s="305"/>
      <c r="K63" s="306"/>
      <c r="L63" s="305"/>
      <c r="M63" s="363"/>
      <c r="N63" s="307"/>
      <c r="O63" s="307"/>
      <c r="P63" s="307"/>
      <c r="Q63" s="308"/>
      <c r="R63" s="309"/>
      <c r="S63" s="310"/>
      <c r="T63" s="309"/>
      <c r="U63" s="311"/>
      <c r="V63" s="307"/>
      <c r="W63" s="312"/>
      <c r="X63" s="283"/>
      <c r="Y63" s="191"/>
      <c r="Z63" s="191"/>
      <c r="AA63" s="191"/>
    </row>
    <row r="64" spans="1:1027" ht="15.75" x14ac:dyDescent="0.25">
      <c r="A64" s="446" t="s">
        <v>86</v>
      </c>
      <c r="B64" s="213">
        <f t="shared" si="7"/>
        <v>0</v>
      </c>
      <c r="C64" s="210">
        <v>220</v>
      </c>
      <c r="D64" s="252">
        <v>0</v>
      </c>
      <c r="E64" s="253">
        <v>2500</v>
      </c>
      <c r="F64" s="254">
        <v>0.2</v>
      </c>
      <c r="G64" s="211">
        <f>B65*E65*F65</f>
        <v>0</v>
      </c>
      <c r="H64" s="260"/>
      <c r="I64" s="191"/>
      <c r="J64" s="462" t="s">
        <v>151</v>
      </c>
      <c r="K64" s="462"/>
      <c r="L64" s="462"/>
      <c r="M64" s="395"/>
      <c r="N64" s="388"/>
      <c r="O64" s="389" t="s">
        <v>24</v>
      </c>
      <c r="P64" s="389" t="s">
        <v>0</v>
      </c>
      <c r="Q64" s="386" t="s">
        <v>26</v>
      </c>
      <c r="R64" s="296"/>
      <c r="S64" s="388"/>
      <c r="T64" s="390" t="s">
        <v>17</v>
      </c>
      <c r="U64" s="296" t="s">
        <v>90</v>
      </c>
      <c r="V64" s="296"/>
      <c r="W64" s="388"/>
      <c r="X64" s="388"/>
      <c r="Y64" s="296" t="s">
        <v>138</v>
      </c>
      <c r="Z64" s="388"/>
      <c r="AA64" s="191"/>
    </row>
    <row r="65" spans="1:1026" ht="16.5" thickBot="1" x14ac:dyDescent="0.3">
      <c r="A65" s="447" t="s">
        <v>13</v>
      </c>
      <c r="B65" s="214">
        <f t="shared" si="7"/>
        <v>0</v>
      </c>
      <c r="C65" s="215">
        <v>220</v>
      </c>
      <c r="D65" s="255">
        <v>0</v>
      </c>
      <c r="E65" s="256">
        <v>1200</v>
      </c>
      <c r="F65" s="257">
        <v>1</v>
      </c>
      <c r="G65" s="216">
        <f>B65*E65*F65</f>
        <v>0</v>
      </c>
      <c r="H65" s="260"/>
      <c r="I65" s="371">
        <v>1</v>
      </c>
      <c r="J65" s="468" t="s">
        <v>161</v>
      </c>
      <c r="K65" s="469"/>
      <c r="L65" s="469"/>
      <c r="M65" s="362" t="s">
        <v>160</v>
      </c>
      <c r="N65" s="297">
        <v>200</v>
      </c>
      <c r="O65" s="297">
        <v>5120</v>
      </c>
      <c r="P65" s="297">
        <v>25.6</v>
      </c>
      <c r="Q65" s="313">
        <v>1</v>
      </c>
      <c r="R65" s="314"/>
      <c r="S65" s="314"/>
      <c r="T65" s="315">
        <v>2237.1999999999998</v>
      </c>
      <c r="U65" s="391"/>
      <c r="V65" s="392"/>
      <c r="W65" s="393"/>
      <c r="X65" s="388"/>
      <c r="Y65" s="296">
        <v>26</v>
      </c>
      <c r="Z65" s="388">
        <f>Q65*Y65</f>
        <v>26</v>
      </c>
      <c r="AA65" s="191"/>
      <c r="AMK65"/>
    </row>
    <row r="66" spans="1:1026" ht="16.5" thickBot="1" x14ac:dyDescent="0.3">
      <c r="A66" s="25"/>
      <c r="B66" s="26"/>
      <c r="C66" s="26"/>
      <c r="D66" s="26"/>
      <c r="E66" s="38">
        <f>SUM(E6:E65)</f>
        <v>26269.116555555556</v>
      </c>
      <c r="F66" s="79" t="s">
        <v>68</v>
      </c>
      <c r="G66" s="41">
        <f>SUM(G50:G65)</f>
        <v>3661.5</v>
      </c>
      <c r="H66" s="260"/>
      <c r="I66" s="355">
        <v>2</v>
      </c>
      <c r="J66" s="464" t="s">
        <v>173</v>
      </c>
      <c r="K66" s="465"/>
      <c r="L66" s="466"/>
      <c r="M66" s="362" t="s">
        <v>159</v>
      </c>
      <c r="N66" s="300">
        <v>100</v>
      </c>
      <c r="O66" s="300">
        <f>N66*P66</f>
        <v>1280</v>
      </c>
      <c r="P66" s="300">
        <v>12.8</v>
      </c>
      <c r="Q66" s="402">
        <v>2</v>
      </c>
      <c r="R66" s="316"/>
      <c r="S66" s="316"/>
      <c r="T66" s="303">
        <f>998*1.07</f>
        <v>1067.8600000000001</v>
      </c>
      <c r="U66" s="496" t="s">
        <v>146</v>
      </c>
      <c r="V66" s="496"/>
      <c r="W66" s="496"/>
      <c r="X66" s="388"/>
      <c r="Y66" s="300">
        <v>16</v>
      </c>
      <c r="Z66" s="386">
        <f t="shared" ref="Z66:Z68" si="8">Q66*Y66</f>
        <v>32</v>
      </c>
      <c r="AA66" s="191"/>
      <c r="AMI66"/>
      <c r="AMJ66"/>
      <c r="AMK66"/>
    </row>
    <row r="67" spans="1:1026" ht="15.75" x14ac:dyDescent="0.25">
      <c r="H67" s="260"/>
      <c r="I67" s="371">
        <v>3</v>
      </c>
      <c r="J67" s="468" t="s">
        <v>154</v>
      </c>
      <c r="K67" s="469"/>
      <c r="L67" s="469"/>
      <c r="M67" s="362" t="s">
        <v>149</v>
      </c>
      <c r="N67" s="300">
        <v>160</v>
      </c>
      <c r="O67" s="300">
        <f>N67*P67</f>
        <v>1920</v>
      </c>
      <c r="P67" s="300">
        <v>12</v>
      </c>
      <c r="Q67" s="372">
        <v>2</v>
      </c>
      <c r="R67" s="316"/>
      <c r="S67" s="316"/>
      <c r="T67" s="303">
        <v>620</v>
      </c>
      <c r="U67" s="299"/>
      <c r="V67" s="394"/>
      <c r="W67" s="388"/>
      <c r="X67" s="388"/>
      <c r="Y67" s="300">
        <v>55</v>
      </c>
      <c r="Z67" s="388">
        <f>Q67*Y67</f>
        <v>110</v>
      </c>
      <c r="AA67" s="318"/>
      <c r="AMI67"/>
      <c r="AMJ67"/>
      <c r="AMK67"/>
    </row>
    <row r="68" spans="1:1026" ht="15.75" x14ac:dyDescent="0.25">
      <c r="I68" s="371">
        <v>4</v>
      </c>
      <c r="J68" s="468" t="s">
        <v>162</v>
      </c>
      <c r="K68" s="469"/>
      <c r="L68" s="469"/>
      <c r="M68" s="362" t="s">
        <v>149</v>
      </c>
      <c r="N68" s="300">
        <v>220</v>
      </c>
      <c r="O68" s="300">
        <f>12*N68</f>
        <v>2640</v>
      </c>
      <c r="P68" s="300">
        <v>12</v>
      </c>
      <c r="Q68" s="372">
        <v>2</v>
      </c>
      <c r="R68" s="316"/>
      <c r="S68" s="316"/>
      <c r="T68" s="303">
        <v>689</v>
      </c>
      <c r="U68" s="496" t="s">
        <v>163</v>
      </c>
      <c r="V68" s="496"/>
      <c r="W68" s="496"/>
      <c r="X68" s="388"/>
      <c r="Y68" s="300">
        <v>66</v>
      </c>
      <c r="Z68" s="388">
        <f t="shared" si="8"/>
        <v>132</v>
      </c>
      <c r="AA68" s="191"/>
      <c r="AMI68"/>
      <c r="AMJ68"/>
      <c r="AMK68"/>
    </row>
    <row r="69" spans="1:1026" ht="15.75" x14ac:dyDescent="0.25">
      <c r="I69" s="289"/>
      <c r="AA69" s="191"/>
      <c r="AMI69"/>
      <c r="AMJ69"/>
      <c r="AMK69"/>
    </row>
    <row r="70" spans="1:1026" ht="15" customHeight="1" x14ac:dyDescent="0.25">
      <c r="I70" s="191"/>
      <c r="J70" s="191"/>
      <c r="K70" s="191"/>
      <c r="L70" s="191"/>
      <c r="N70" s="191"/>
      <c r="O70" s="191"/>
      <c r="P70" s="319"/>
      <c r="Q70" s="191"/>
      <c r="R70" s="283"/>
      <c r="S70" s="191"/>
      <c r="T70" s="320"/>
      <c r="U70" s="317"/>
      <c r="V70" s="283"/>
      <c r="W70" s="191"/>
      <c r="X70" s="191"/>
      <c r="Y70" s="321"/>
      <c r="Z70" s="322"/>
      <c r="AA70" s="322"/>
      <c r="AMI70"/>
      <c r="AMJ70"/>
      <c r="AMK70"/>
    </row>
    <row r="71" spans="1:1026" ht="15.75" x14ac:dyDescent="0.25">
      <c r="I71" s="191"/>
      <c r="J71" s="462" t="s">
        <v>152</v>
      </c>
      <c r="K71" s="462"/>
      <c r="L71" s="462"/>
      <c r="N71" s="323" t="s">
        <v>94</v>
      </c>
      <c r="O71" s="323"/>
      <c r="P71" s="323" t="s">
        <v>0</v>
      </c>
      <c r="Q71" s="323" t="s">
        <v>106</v>
      </c>
      <c r="R71" s="324" t="s">
        <v>96</v>
      </c>
      <c r="S71" s="325" t="s">
        <v>107</v>
      </c>
      <c r="T71" s="288" t="s">
        <v>17</v>
      </c>
      <c r="U71" s="317"/>
      <c r="V71" s="283"/>
      <c r="W71" s="322"/>
      <c r="X71" s="322"/>
      <c r="Y71" s="321"/>
      <c r="Z71" s="322"/>
      <c r="AA71" s="322"/>
      <c r="AMI71"/>
      <c r="AMJ71"/>
      <c r="AMK71"/>
    </row>
    <row r="72" spans="1:1026" ht="15.75" x14ac:dyDescent="0.25">
      <c r="I72" s="326">
        <v>1</v>
      </c>
      <c r="J72" s="474" t="s">
        <v>144</v>
      </c>
      <c r="K72" s="474"/>
      <c r="L72" s="474"/>
      <c r="M72" s="362" t="s">
        <v>143</v>
      </c>
      <c r="N72" s="300">
        <v>3000</v>
      </c>
      <c r="O72" s="327"/>
      <c r="P72" s="300">
        <v>230</v>
      </c>
      <c r="Q72" s="300" t="s">
        <v>145</v>
      </c>
      <c r="R72" s="300" t="s">
        <v>97</v>
      </c>
      <c r="S72" s="300"/>
      <c r="T72" s="328">
        <v>550</v>
      </c>
      <c r="U72" s="329"/>
      <c r="V72" s="283"/>
      <c r="W72" s="322"/>
      <c r="X72" s="322"/>
      <c r="Y72" s="330"/>
      <c r="Z72" s="322"/>
      <c r="AA72" s="322"/>
      <c r="AMI72"/>
      <c r="AMJ72"/>
      <c r="AMK72"/>
    </row>
    <row r="73" spans="1:1026" ht="15.75" x14ac:dyDescent="0.25">
      <c r="I73" s="355">
        <v>2</v>
      </c>
      <c r="J73" s="459" t="s">
        <v>134</v>
      </c>
      <c r="K73" s="460"/>
      <c r="L73" s="461"/>
      <c r="M73" s="364" t="s">
        <v>132</v>
      </c>
      <c r="N73" s="300">
        <v>3000</v>
      </c>
      <c r="O73" s="300" t="s">
        <v>101</v>
      </c>
      <c r="P73" s="300">
        <v>230</v>
      </c>
      <c r="Q73" s="300" t="s">
        <v>114</v>
      </c>
      <c r="R73" s="331" t="s">
        <v>108</v>
      </c>
      <c r="S73" s="332" t="s">
        <v>108</v>
      </c>
      <c r="T73" s="328">
        <f>940.8</f>
        <v>940.8</v>
      </c>
      <c r="U73" s="333">
        <v>8.5</v>
      </c>
      <c r="V73" s="283"/>
      <c r="W73" s="322"/>
      <c r="X73" s="322"/>
      <c r="Y73" s="330"/>
      <c r="Z73" s="322"/>
      <c r="AA73" s="322"/>
      <c r="AMI73"/>
      <c r="AMJ73"/>
      <c r="AMK73"/>
    </row>
    <row r="74" spans="1:1026" ht="15.75" x14ac:dyDescent="0.25">
      <c r="I74" s="326">
        <v>3</v>
      </c>
      <c r="J74" s="474" t="s">
        <v>128</v>
      </c>
      <c r="K74" s="474"/>
      <c r="L74" s="474"/>
      <c r="M74" s="364" t="s">
        <v>121</v>
      </c>
      <c r="N74" s="300">
        <v>3200</v>
      </c>
      <c r="O74" s="327"/>
      <c r="P74" s="300">
        <v>220</v>
      </c>
      <c r="Q74" s="300" t="s">
        <v>129</v>
      </c>
      <c r="R74" s="300" t="s">
        <v>130</v>
      </c>
      <c r="S74" s="300"/>
      <c r="T74" s="328">
        <f>775*1.07</f>
        <v>829.25</v>
      </c>
      <c r="U74" s="333"/>
      <c r="V74" s="283"/>
      <c r="W74" s="322"/>
      <c r="X74" s="322"/>
      <c r="Y74" s="330"/>
      <c r="Z74" s="322"/>
      <c r="AA74" s="322"/>
      <c r="AMK74"/>
    </row>
    <row r="75" spans="1:1026" ht="15.75" x14ac:dyDescent="0.25">
      <c r="I75" s="326">
        <v>4</v>
      </c>
      <c r="J75" s="474" t="s">
        <v>120</v>
      </c>
      <c r="K75" s="474"/>
      <c r="L75" s="474"/>
      <c r="M75" s="365" t="s">
        <v>131</v>
      </c>
      <c r="N75" s="300">
        <v>4000</v>
      </c>
      <c r="O75" s="300" t="s">
        <v>101</v>
      </c>
      <c r="P75" s="300">
        <v>360</v>
      </c>
      <c r="Q75" s="300" t="s">
        <v>114</v>
      </c>
      <c r="R75" s="331" t="s">
        <v>97</v>
      </c>
      <c r="S75" s="332"/>
      <c r="T75" s="328">
        <v>770</v>
      </c>
      <c r="U75" s="333"/>
      <c r="V75" s="334"/>
      <c r="W75" s="312"/>
      <c r="X75" s="322"/>
      <c r="Y75" s="330"/>
      <c r="Z75" s="322"/>
      <c r="AA75" s="322"/>
      <c r="AMK75"/>
    </row>
    <row r="76" spans="1:1026" ht="16.5" thickBot="1" x14ac:dyDescent="0.3">
      <c r="I76" s="322"/>
      <c r="J76" s="305"/>
      <c r="K76" s="305"/>
      <c r="L76" s="305"/>
      <c r="M76" s="322"/>
      <c r="N76" s="307"/>
      <c r="O76" s="307"/>
      <c r="P76" s="307"/>
      <c r="Q76" s="307"/>
      <c r="R76" s="309"/>
      <c r="S76" s="310"/>
      <c r="T76" s="309"/>
      <c r="U76" s="312"/>
      <c r="V76" s="191"/>
      <c r="W76" s="191"/>
      <c r="X76" s="191"/>
      <c r="Y76" s="191"/>
      <c r="Z76" s="191"/>
      <c r="AA76" s="191"/>
      <c r="AML76" s="4"/>
    </row>
    <row r="77" spans="1:1026" ht="16.5" thickBot="1" x14ac:dyDescent="0.3">
      <c r="I77" s="322"/>
      <c r="J77" s="499" t="s">
        <v>119</v>
      </c>
      <c r="K77" s="499"/>
      <c r="L77" s="499"/>
      <c r="M77" s="397">
        <v>5</v>
      </c>
      <c r="N77" s="398" t="str">
        <f>IF(M77=1,J78,IF(M77=2,J79,IF(M77=3,I7,IF(M77=4,J81,IF(M77=5,J82,0)))))</f>
        <v>Schletter SingleFix-V Montagekit</v>
      </c>
      <c r="O77" s="384"/>
      <c r="P77" s="384"/>
      <c r="Q77" s="384"/>
      <c r="R77" s="384"/>
      <c r="S77" s="384"/>
      <c r="T77" s="335">
        <f>IF(M77=1,T78,IF(M77=2,T79,IF(M77=3,T80,IF(M77=4,T81,IF(M77=5,T82,0)))))</f>
        <v>880</v>
      </c>
      <c r="U77" s="312"/>
      <c r="V77" s="191"/>
      <c r="W77" s="191"/>
      <c r="X77" s="191"/>
      <c r="Y77" s="191"/>
      <c r="Z77" s="191"/>
      <c r="AA77" s="191"/>
      <c r="AMK77"/>
    </row>
    <row r="78" spans="1:1026" ht="15.75" x14ac:dyDescent="0.25">
      <c r="I78" s="322">
        <v>1</v>
      </c>
      <c r="J78" s="471" t="s">
        <v>109</v>
      </c>
      <c r="K78" s="472"/>
      <c r="L78" s="473"/>
      <c r="M78" s="343" t="s">
        <v>92</v>
      </c>
      <c r="N78" s="336"/>
      <c r="O78" s="337"/>
      <c r="P78" s="337"/>
      <c r="Q78" s="337"/>
      <c r="R78" s="338">
        <f>IF(J6=1,0,IF(J6=2,W59,IF(J6=3,W60,IF(J6=4,W61,IF(J6=5,W62,0)))))</f>
        <v>0</v>
      </c>
      <c r="S78" s="338">
        <f>109*1.07</f>
        <v>116.63000000000001</v>
      </c>
      <c r="T78" s="339">
        <f>R78*S78</f>
        <v>0</v>
      </c>
      <c r="U78" s="283"/>
      <c r="V78" s="191"/>
      <c r="W78" s="191"/>
      <c r="X78" s="191"/>
      <c r="Y78" s="191"/>
      <c r="Z78" s="191"/>
      <c r="AA78" s="191"/>
      <c r="AMK78"/>
    </row>
    <row r="79" spans="1:1026" ht="15.75" x14ac:dyDescent="0.25">
      <c r="I79" s="322">
        <v>2</v>
      </c>
      <c r="J79" s="456" t="s">
        <v>116</v>
      </c>
      <c r="K79" s="457"/>
      <c r="L79" s="458"/>
      <c r="M79" s="343"/>
      <c r="N79" s="336"/>
      <c r="O79" s="337"/>
      <c r="P79" s="337"/>
      <c r="Q79" s="337"/>
      <c r="R79" s="338">
        <v>1</v>
      </c>
      <c r="S79" s="338">
        <f>158*1.07</f>
        <v>169.06</v>
      </c>
      <c r="T79" s="339">
        <f>R79*S79</f>
        <v>169.06</v>
      </c>
      <c r="U79" s="283"/>
      <c r="V79" s="191"/>
      <c r="W79" s="191"/>
      <c r="X79" s="191"/>
      <c r="Y79" s="191"/>
      <c r="Z79" s="191"/>
      <c r="AA79" s="191"/>
      <c r="AMK79"/>
    </row>
    <row r="80" spans="1:1026" ht="15.75" x14ac:dyDescent="0.25">
      <c r="I80" s="322">
        <v>3</v>
      </c>
      <c r="J80" s="456" t="s">
        <v>113</v>
      </c>
      <c r="K80" s="457"/>
      <c r="L80" s="458"/>
      <c r="M80" s="343" t="s">
        <v>92</v>
      </c>
      <c r="N80" s="340"/>
      <c r="O80" s="340"/>
      <c r="P80" s="340"/>
      <c r="Q80" s="331"/>
      <c r="R80" s="338">
        <v>1</v>
      </c>
      <c r="S80" s="396">
        <v>150</v>
      </c>
      <c r="T80" s="342">
        <f>R80*S80</f>
        <v>150</v>
      </c>
      <c r="U80" s="284"/>
      <c r="V80" s="191"/>
      <c r="W80" s="191"/>
      <c r="X80" s="191"/>
      <c r="Y80" s="191"/>
      <c r="Z80" s="191"/>
      <c r="AA80" s="191"/>
      <c r="AMK80"/>
    </row>
    <row r="81" spans="1:27 1025:1026" ht="15.75" x14ac:dyDescent="0.25">
      <c r="I81" s="191">
        <v>4</v>
      </c>
      <c r="J81" s="471" t="s">
        <v>112</v>
      </c>
      <c r="K81" s="472"/>
      <c r="L81" s="473"/>
      <c r="M81" s="344"/>
      <c r="N81" s="337"/>
      <c r="O81" s="337"/>
      <c r="P81" s="337"/>
      <c r="Q81" s="337"/>
      <c r="R81" s="338">
        <v>1</v>
      </c>
      <c r="S81" s="338">
        <f>313*1.07</f>
        <v>334.91</v>
      </c>
      <c r="T81" s="339">
        <f>R81*S81</f>
        <v>334.91</v>
      </c>
      <c r="U81" s="284"/>
      <c r="V81" s="191"/>
      <c r="W81" s="191"/>
      <c r="X81" s="191"/>
      <c r="Y81" s="191"/>
      <c r="Z81" s="191"/>
      <c r="AA81" s="191"/>
      <c r="AMK81"/>
    </row>
    <row r="82" spans="1:27 1025:1026" ht="15.75" x14ac:dyDescent="0.25">
      <c r="I82" s="355">
        <v>5</v>
      </c>
      <c r="J82" s="459" t="s">
        <v>117</v>
      </c>
      <c r="K82" s="460"/>
      <c r="L82" s="461"/>
      <c r="M82" s="435" t="s">
        <v>118</v>
      </c>
      <c r="N82" s="341"/>
      <c r="O82" s="341"/>
      <c r="P82" s="341"/>
      <c r="Q82" s="341"/>
      <c r="R82" s="339">
        <v>1</v>
      </c>
      <c r="S82" s="342">
        <f>280 + 600</f>
        <v>880</v>
      </c>
      <c r="T82" s="303">
        <f>R82*S82</f>
        <v>880</v>
      </c>
      <c r="U82" s="284"/>
      <c r="V82" s="191"/>
      <c r="W82" s="191"/>
      <c r="X82" s="191"/>
      <c r="Y82" s="191"/>
      <c r="Z82" s="191"/>
      <c r="AA82" s="191"/>
      <c r="AMK82"/>
    </row>
    <row r="83" spans="1:27 1025:1026" x14ac:dyDescent="0.25">
      <c r="Q83" s="4"/>
      <c r="R83" s="103"/>
      <c r="S83" s="4"/>
      <c r="U83" s="108"/>
      <c r="V83" s="103"/>
      <c r="W83" s="108"/>
      <c r="AMK83"/>
    </row>
    <row r="84" spans="1:27 1025:1026" x14ac:dyDescent="0.25">
      <c r="Q84" s="4"/>
      <c r="R84" s="103"/>
      <c r="S84" s="4"/>
      <c r="V84" s="103"/>
      <c r="W84" s="108"/>
      <c r="AML84" s="4"/>
    </row>
    <row r="85" spans="1:27 1025:1026" x14ac:dyDescent="0.25">
      <c r="Q85" s="4"/>
      <c r="R85" s="103"/>
      <c r="S85" s="4"/>
      <c r="V85" s="103"/>
      <c r="W85" s="108"/>
      <c r="AML85" s="4"/>
    </row>
    <row r="86" spans="1:27 1025:1026" ht="16.5" x14ac:dyDescent="0.3">
      <c r="Q86" s="4"/>
      <c r="R86" s="103"/>
      <c r="S86" s="4"/>
      <c r="V86" s="103"/>
      <c r="W86" s="178"/>
      <c r="AML86" s="4"/>
    </row>
    <row r="87" spans="1:27 1025:1026" x14ac:dyDescent="0.25">
      <c r="J87"/>
      <c r="Q87" s="4"/>
      <c r="R87" s="103"/>
      <c r="S87" s="4"/>
      <c r="V87" s="103"/>
      <c r="W87" s="108"/>
      <c r="AML87" s="4"/>
    </row>
    <row r="88" spans="1:27 1025:1026" x14ac:dyDescent="0.25">
      <c r="Q88" s="4"/>
      <c r="R88" s="103"/>
      <c r="S88" s="4"/>
      <c r="V88" s="103"/>
      <c r="W88" s="108"/>
      <c r="AML88" s="4"/>
    </row>
    <row r="89" spans="1:27 1025:1026" x14ac:dyDescent="0.25">
      <c r="A89" s="4" t="s">
        <v>90</v>
      </c>
      <c r="Q89" s="4"/>
      <c r="R89" s="103"/>
      <c r="S89" s="4"/>
      <c r="V89" s="103"/>
      <c r="W89" s="108"/>
      <c r="AML89" s="4"/>
    </row>
    <row r="90" spans="1:27 1025:1026" x14ac:dyDescent="0.25">
      <c r="Q90" s="4"/>
      <c r="R90" s="103"/>
      <c r="S90" s="4"/>
      <c r="V90" s="103"/>
      <c r="W90" s="108"/>
      <c r="AML90" s="4"/>
    </row>
    <row r="91" spans="1:27 1025:1026" x14ac:dyDescent="0.25">
      <c r="Q91" s="4"/>
      <c r="R91" s="103"/>
      <c r="S91" s="4"/>
      <c r="V91" s="103"/>
      <c r="W91" s="108"/>
      <c r="AML91" s="4"/>
    </row>
    <row r="92" spans="1:27 1025:1026" x14ac:dyDescent="0.25">
      <c r="Q92" s="4"/>
      <c r="R92" s="103"/>
      <c r="S92" s="4"/>
      <c r="V92" s="103"/>
      <c r="W92" s="108"/>
      <c r="AML92" s="4"/>
    </row>
    <row r="93" spans="1:27 1025:1026" x14ac:dyDescent="0.25">
      <c r="Q93" s="4"/>
      <c r="R93" s="103"/>
      <c r="S93" s="4"/>
      <c r="V93" s="103"/>
      <c r="W93" s="108"/>
      <c r="AML93" s="4"/>
    </row>
    <row r="94" spans="1:27 1025:1026" x14ac:dyDescent="0.25">
      <c r="V94" s="103"/>
      <c r="W94" s="108"/>
      <c r="AML94" s="4"/>
    </row>
    <row r="95" spans="1:27 1025:1026" x14ac:dyDescent="0.25">
      <c r="W95" s="108"/>
    </row>
    <row r="103" spans="1:7" x14ac:dyDescent="0.25">
      <c r="A103" s="131"/>
      <c r="E103" s="36"/>
      <c r="F103" s="36"/>
      <c r="G103" s="36"/>
    </row>
  </sheetData>
  <mergeCells count="41">
    <mergeCell ref="U68:W68"/>
    <mergeCell ref="H16:I17"/>
    <mergeCell ref="J77:L77"/>
    <mergeCell ref="J56:L56"/>
    <mergeCell ref="N25:O25"/>
    <mergeCell ref="J65:L65"/>
    <mergeCell ref="J68:L68"/>
    <mergeCell ref="J72:L72"/>
    <mergeCell ref="J73:L73"/>
    <mergeCell ref="J66:L66"/>
    <mergeCell ref="M21:O21"/>
    <mergeCell ref="J74:L74"/>
    <mergeCell ref="M11:O11"/>
    <mergeCell ref="J11:L11"/>
    <mergeCell ref="J14:K14"/>
    <mergeCell ref="J19:K19"/>
    <mergeCell ref="U66:W66"/>
    <mergeCell ref="J3:L3"/>
    <mergeCell ref="K2:L2"/>
    <mergeCell ref="J43:K43"/>
    <mergeCell ref="J27:L27"/>
    <mergeCell ref="J5:L5"/>
    <mergeCell ref="K6:L6"/>
    <mergeCell ref="K4:L4"/>
    <mergeCell ref="J7:L7"/>
    <mergeCell ref="J21:L21"/>
    <mergeCell ref="J79:L79"/>
    <mergeCell ref="J82:L82"/>
    <mergeCell ref="J64:L64"/>
    <mergeCell ref="J57:L57"/>
    <mergeCell ref="J58:L58"/>
    <mergeCell ref="J71:L71"/>
    <mergeCell ref="J59:L59"/>
    <mergeCell ref="J61:L61"/>
    <mergeCell ref="J62:L62"/>
    <mergeCell ref="J81:L81"/>
    <mergeCell ref="J80:L80"/>
    <mergeCell ref="J78:L78"/>
    <mergeCell ref="J75:L75"/>
    <mergeCell ref="J60:L60"/>
    <mergeCell ref="J67:L67"/>
  </mergeCells>
  <conditionalFormatting sqref="E6:E18 G50:G65 D37 G6:G18 B37:B44 B24:B30">
    <cfRule type="cellIs" dxfId="70" priority="364" stopIfTrue="1" operator="equal">
      <formula>0</formula>
    </cfRule>
  </conditionalFormatting>
  <conditionalFormatting sqref="D64:D65 D50:D62 D37 B37:B44 B24:B30">
    <cfRule type="cellIs" dxfId="69" priority="363" stopIfTrue="1" operator="equal">
      <formula>0</formula>
    </cfRule>
  </conditionalFormatting>
  <conditionalFormatting sqref="B37:B44">
    <cfRule type="cellIs" dxfId="68" priority="264" operator="greaterThan">
      <formula>0</formula>
    </cfRule>
    <cfRule type="cellIs" dxfId="67" priority="365" stopIfTrue="1" operator="equal">
      <formula>0</formula>
    </cfRule>
  </conditionalFormatting>
  <conditionalFormatting sqref="D64:D65 D50:D62">
    <cfRule type="cellIs" dxfId="66" priority="360" stopIfTrue="1" operator="greaterThan">
      <formula>"1;$A$2"</formula>
    </cfRule>
  </conditionalFormatting>
  <conditionalFormatting sqref="D63">
    <cfRule type="cellIs" dxfId="65" priority="357" stopIfTrue="1" operator="equal">
      <formula>0</formula>
    </cfRule>
  </conditionalFormatting>
  <conditionalFormatting sqref="D63">
    <cfRule type="cellIs" dxfId="64" priority="358" stopIfTrue="1" operator="greaterThan">
      <formula>"1;$A$2"</formula>
    </cfRule>
  </conditionalFormatting>
  <conditionalFormatting sqref="N13">
    <cfRule type="expression" dxfId="63" priority="322">
      <formula>"WENN($G$25=0"</formula>
    </cfRule>
    <cfRule type="cellIs" dxfId="62" priority="323" operator="greaterThan">
      <formula>"WENN($G$25=0"</formula>
    </cfRule>
  </conditionalFormatting>
  <conditionalFormatting sqref="D37 B24:B30">
    <cfRule type="cellIs" dxfId="61" priority="321" stopIfTrue="1" operator="equal">
      <formula>0</formula>
    </cfRule>
  </conditionalFormatting>
  <conditionalFormatting sqref="B50:B65">
    <cfRule type="cellIs" dxfId="60" priority="265" operator="greaterThan">
      <formula>0</formula>
    </cfRule>
    <cfRule type="cellIs" dxfId="59" priority="292" stopIfTrue="1" operator="equal">
      <formula>0</formula>
    </cfRule>
  </conditionalFormatting>
  <conditionalFormatting sqref="B50:B65">
    <cfRule type="cellIs" dxfId="58" priority="291" stopIfTrue="1" operator="equal">
      <formula>0</formula>
    </cfRule>
  </conditionalFormatting>
  <conditionalFormatting sqref="B50:B65">
    <cfRule type="cellIs" dxfId="57" priority="293" stopIfTrue="1" operator="equal">
      <formula>0</formula>
    </cfRule>
  </conditionalFormatting>
  <conditionalFormatting sqref="B24:B30">
    <cfRule type="cellIs" dxfId="56" priority="263" operator="greaterThan">
      <formula>0</formula>
    </cfRule>
  </conditionalFormatting>
  <conditionalFormatting sqref="B6:B18">
    <cfRule type="cellIs" dxfId="55" priority="262" operator="greaterThan">
      <formula>0</formula>
    </cfRule>
  </conditionalFormatting>
  <conditionalFormatting sqref="H3">
    <cfRule type="cellIs" dxfId="54" priority="258" operator="greaterThan">
      <formula>0</formula>
    </cfRule>
  </conditionalFormatting>
  <conditionalFormatting sqref="H5">
    <cfRule type="cellIs" dxfId="53" priority="253" operator="greaterThan">
      <formula>0</formula>
    </cfRule>
  </conditionalFormatting>
  <conditionalFormatting sqref="H7">
    <cfRule type="cellIs" dxfId="52" priority="246" operator="greaterThan">
      <formula>0</formula>
    </cfRule>
  </conditionalFormatting>
  <conditionalFormatting sqref="A26:A29">
    <cfRule type="expression" dxfId="51" priority="381">
      <formula>#REF!=0</formula>
    </cfRule>
  </conditionalFormatting>
  <conditionalFormatting sqref="J17">
    <cfRule type="expression" dxfId="50" priority="235">
      <formula>$K$17=1</formula>
    </cfRule>
  </conditionalFormatting>
  <conditionalFormatting sqref="F37:F44">
    <cfRule type="cellIs" dxfId="49" priority="215" operator="equal">
      <formula>0</formula>
    </cfRule>
  </conditionalFormatting>
  <conditionalFormatting sqref="A52">
    <cfRule type="expression" dxfId="48" priority="204">
      <formula>$B$52=0</formula>
    </cfRule>
  </conditionalFormatting>
  <conditionalFormatting sqref="A51">
    <cfRule type="expression" dxfId="47" priority="203">
      <formula>$D$51=0</formula>
    </cfRule>
  </conditionalFormatting>
  <conditionalFormatting sqref="A53">
    <cfRule type="expression" dxfId="46" priority="202">
      <formula>$B$53=0</formula>
    </cfRule>
  </conditionalFormatting>
  <conditionalFormatting sqref="A55">
    <cfRule type="expression" dxfId="45" priority="200">
      <formula>$B$55=0</formula>
    </cfRule>
  </conditionalFormatting>
  <conditionalFormatting sqref="A56">
    <cfRule type="expression" dxfId="44" priority="199">
      <formula>$B$56=0</formula>
    </cfRule>
  </conditionalFormatting>
  <conditionalFormatting sqref="A54">
    <cfRule type="expression" dxfId="43" priority="198">
      <formula>$B$54=0</formula>
    </cfRule>
  </conditionalFormatting>
  <conditionalFormatting sqref="A57">
    <cfRule type="expression" dxfId="42" priority="197">
      <formula>$B$57=0</formula>
    </cfRule>
  </conditionalFormatting>
  <conditionalFormatting sqref="A58">
    <cfRule type="expression" dxfId="41" priority="196">
      <formula>$B$58=0</formula>
    </cfRule>
  </conditionalFormatting>
  <conditionalFormatting sqref="A59">
    <cfRule type="expression" dxfId="40" priority="195">
      <formula>$B$59=0</formula>
    </cfRule>
  </conditionalFormatting>
  <conditionalFormatting sqref="A60">
    <cfRule type="expression" dxfId="39" priority="194">
      <formula>$B$60=0</formula>
    </cfRule>
  </conditionalFormatting>
  <conditionalFormatting sqref="A61">
    <cfRule type="expression" dxfId="38" priority="193">
      <formula>$B$61=0</formula>
    </cfRule>
  </conditionalFormatting>
  <conditionalFormatting sqref="A62">
    <cfRule type="expression" dxfId="37" priority="192">
      <formula>$B$62=0</formula>
    </cfRule>
  </conditionalFormatting>
  <conditionalFormatting sqref="A63">
    <cfRule type="expression" dxfId="36" priority="191">
      <formula>$B$63=0</formula>
    </cfRule>
  </conditionalFormatting>
  <conditionalFormatting sqref="A64">
    <cfRule type="expression" dxfId="35" priority="190">
      <formula>$B$64=0</formula>
    </cfRule>
  </conditionalFormatting>
  <conditionalFormatting sqref="A65">
    <cfRule type="expression" dxfId="34" priority="189">
      <formula>$B$65=0</formula>
    </cfRule>
  </conditionalFormatting>
  <conditionalFormatting sqref="N26">
    <cfRule type="expression" dxfId="33" priority="167">
      <formula>$O$26&lt;1</formula>
    </cfRule>
  </conditionalFormatting>
  <conditionalFormatting sqref="B3">
    <cfRule type="expression" dxfId="32" priority="384">
      <formula>$H$3&gt;0</formula>
    </cfRule>
  </conditionalFormatting>
  <conditionalFormatting sqref="A39:A44">
    <cfRule type="expression" dxfId="31" priority="149">
      <formula>#REF!=0</formula>
    </cfRule>
  </conditionalFormatting>
  <conditionalFormatting sqref="H2">
    <cfRule type="expression" dxfId="30" priority="147">
      <formula>$H$3&gt;0</formula>
    </cfRule>
  </conditionalFormatting>
  <conditionalFormatting sqref="H4">
    <cfRule type="expression" dxfId="29" priority="146">
      <formula>$H$5&gt;0</formula>
    </cfRule>
  </conditionalFormatting>
  <conditionalFormatting sqref="H6">
    <cfRule type="expression" dxfId="28" priority="145">
      <formula>$H$7&gt;0</formula>
    </cfRule>
  </conditionalFormatting>
  <conditionalFormatting sqref="L17">
    <cfRule type="expression" dxfId="27" priority="143">
      <formula>$K$17&gt;0</formula>
    </cfRule>
  </conditionalFormatting>
  <conditionalFormatting sqref="J78:L78">
    <cfRule type="expression" dxfId="26" priority="129">
      <formula>$M$77=1</formula>
    </cfRule>
  </conditionalFormatting>
  <conditionalFormatting sqref="J79:L79">
    <cfRule type="expression" dxfId="25" priority="119">
      <formula>$M$77=2</formula>
    </cfRule>
  </conditionalFormatting>
  <conditionalFormatting sqref="J81:L81">
    <cfRule type="expression" dxfId="24" priority="118">
      <formula>$M$77=4</formula>
    </cfRule>
  </conditionalFormatting>
  <conditionalFormatting sqref="H8">
    <cfRule type="expression" dxfId="23" priority="95">
      <formula>$H$9&gt;0</formula>
    </cfRule>
    <cfRule type="expression" dxfId="22" priority="113">
      <formula>$H$7&gt;0</formula>
    </cfRule>
  </conditionalFormatting>
  <conditionalFormatting sqref="H9">
    <cfRule type="cellIs" dxfId="21" priority="112" operator="greaterThan">
      <formula>0</formula>
    </cfRule>
  </conditionalFormatting>
  <conditionalFormatting sqref="A30">
    <cfRule type="expression" dxfId="20" priority="108">
      <formula>$B$37=0</formula>
    </cfRule>
  </conditionalFormatting>
  <conditionalFormatting sqref="A5">
    <cfRule type="expression" dxfId="19" priority="107">
      <formula>$B$37=0</formula>
    </cfRule>
  </conditionalFormatting>
  <conditionalFormatting sqref="J75:L75">
    <cfRule type="expression" dxfId="18" priority="93">
      <formula>J5=3</formula>
    </cfRule>
  </conditionalFormatting>
  <conditionalFormatting sqref="J61">
    <cfRule type="expression" dxfId="17" priority="91">
      <formula>J5=5</formula>
    </cfRule>
  </conditionalFormatting>
  <conditionalFormatting sqref="J4">
    <cfRule type="cellIs" dxfId="16" priority="22" operator="equal">
      <formula>2</formula>
    </cfRule>
    <cfRule type="cellIs" dxfId="15" priority="86" operator="equal">
      <formula>2</formula>
    </cfRule>
  </conditionalFormatting>
  <conditionalFormatting sqref="A25">
    <cfRule type="expression" dxfId="14" priority="74">
      <formula>$B$37=0</formula>
    </cfRule>
  </conditionalFormatting>
  <conditionalFormatting sqref="J16">
    <cfRule type="expression" dxfId="13" priority="51">
      <formula>$K$16=1</formula>
    </cfRule>
  </conditionalFormatting>
  <conditionalFormatting sqref="I2">
    <cfRule type="containsText" dxfId="12" priority="49" operator="containsText" text="Quality $I$1?">
      <formula>NOT(ISERROR(SEARCH("Quality $I$1?",I2)))</formula>
    </cfRule>
  </conditionalFormatting>
  <conditionalFormatting sqref="L16">
    <cfRule type="expression" dxfId="11" priority="44">
      <formula>$K$16=1</formula>
    </cfRule>
  </conditionalFormatting>
  <conditionalFormatting sqref="J80:L80">
    <cfRule type="expression" dxfId="10" priority="43">
      <formula>$M$77=2</formula>
    </cfRule>
  </conditionalFormatting>
  <conditionalFormatting sqref="J62">
    <cfRule type="expression" dxfId="9" priority="27">
      <formula>J6=5</formula>
    </cfRule>
  </conditionalFormatting>
  <conditionalFormatting sqref="J67:L67">
    <cfRule type="expression" dxfId="8" priority="19">
      <formula>J4=1</formula>
    </cfRule>
  </conditionalFormatting>
  <conditionalFormatting sqref="J65:L65">
    <cfRule type="expression" dxfId="7" priority="10">
      <formula>J2=1</formula>
    </cfRule>
  </conditionalFormatting>
  <conditionalFormatting sqref="J2">
    <cfRule type="cellIs" dxfId="6" priority="9" operator="equal">
      <formula>2</formula>
    </cfRule>
  </conditionalFormatting>
  <conditionalFormatting sqref="J66:L66">
    <cfRule type="expression" dxfId="5" priority="6">
      <formula>J2=1</formula>
    </cfRule>
  </conditionalFormatting>
  <conditionalFormatting sqref="J68:L68">
    <cfRule type="expression" dxfId="4" priority="5">
      <formula>J5=1</formula>
    </cfRule>
  </conditionalFormatting>
  <conditionalFormatting sqref="A38">
    <cfRule type="expression" dxfId="3" priority="4">
      <formula>$B$37=0</formula>
    </cfRule>
  </conditionalFormatting>
  <conditionalFormatting sqref="J58:L58">
    <cfRule type="expression" dxfId="2" priority="3">
      <formula>J1048569=1</formula>
    </cfRule>
  </conditionalFormatting>
  <conditionalFormatting sqref="J6">
    <cfRule type="cellIs" dxfId="1" priority="2" operator="equal">
      <formula>1</formula>
    </cfRule>
  </conditionalFormatting>
  <conditionalFormatting sqref="A50">
    <cfRule type="expression" dxfId="0" priority="1">
      <formula>$D$51=0</formula>
    </cfRule>
  </conditionalFormatting>
  <dataValidations count="4">
    <dataValidation type="list" allowBlank="1" showInputMessage="1" showErrorMessage="1" sqref="J6" xr:uid="{2E27B1C3-626D-4C29-BF8F-8468310C6A7A}">
      <formula1>$I$58:$I$62</formula1>
    </dataValidation>
    <dataValidation type="list" allowBlank="1" showInputMessage="1" showErrorMessage="1" sqref="J2" xr:uid="{D8203706-8577-4585-9CC2-42DC90775057}">
      <formula1>$I$65:$I$68</formula1>
    </dataValidation>
    <dataValidation type="list" allowBlank="1" showInputMessage="1" showErrorMessage="1" sqref="J4" xr:uid="{7E0A9054-D0CD-4410-88D1-077F9DEC6867}">
      <formula1>$I$72:$I$75</formula1>
    </dataValidation>
    <dataValidation type="list" allowBlank="1" showInputMessage="1" showErrorMessage="1" sqref="M77" xr:uid="{1C27B206-FF75-4E65-8C02-211620F06524}">
      <formula1>$I$78:$I$82</formula1>
    </dataValidation>
  </dataValidations>
  <hyperlinks>
    <hyperlink ref="M60" r:id="rId1" xr:uid="{0A5F7CF4-B4BC-452C-9AA1-EFD3EEC579C6}"/>
    <hyperlink ref="M62" r:id="rId2" xr:uid="{F158938D-6BCE-4923-BDF1-461D337F8A37}"/>
    <hyperlink ref="M58" r:id="rId3" display="europe-solar" xr:uid="{90591EC3-A0FB-4DFF-870D-CD4C1B78F3CD}"/>
    <hyperlink ref="M74" r:id="rId4" xr:uid="{9CED4A73-CE8D-41BF-851B-9F5AECD978BE}"/>
    <hyperlink ref="M65" r:id="rId5" xr:uid="{A43B7F65-95C2-489C-AEC8-853E87003F8C}"/>
    <hyperlink ref="M78" r:id="rId6" xr:uid="{6A287574-B23B-4526-9CEA-2DA6646FA19E}"/>
    <hyperlink ref="M73" r:id="rId7" xr:uid="{45E4B0A6-47FF-4FE9-8A37-1AA5081FD8CB}"/>
    <hyperlink ref="M80" r:id="rId8" xr:uid="{5A266A32-C22A-452F-AA93-FC376F7D4EBD}"/>
    <hyperlink ref="M78:M80" r:id="rId9" display="GreenAkku" xr:uid="{FC00DA64-95D9-4755-B933-5E40C1D61CB6}"/>
    <hyperlink ref="M82" r:id="rId10" xr:uid="{E87DAEA6-AB24-4B9B-A818-878D2B44AD09}"/>
    <hyperlink ref="M61" r:id="rId11" xr:uid="{B9E660D8-2054-4A9C-A1B2-381C08AC2E5C}"/>
    <hyperlink ref="M66" r:id="rId12" xr:uid="{139C56AC-D127-4945-B38A-0F6F001AC9D2}"/>
    <hyperlink ref="M75" r:id="rId13" xr:uid="{6AEEA1A3-B6D9-4017-89CA-B7DD569E4DA6}"/>
    <hyperlink ref="M72" r:id="rId14" xr:uid="{B06C1199-31ED-4295-AB48-AF0671F313AE}"/>
    <hyperlink ref="M59" r:id="rId15" xr:uid="{3D2D46A0-6E47-4FF6-B478-1296A745660D}"/>
    <hyperlink ref="M67" r:id="rId16" xr:uid="{6F55380B-4B60-4C19-ACE7-E715521F4ECB}"/>
    <hyperlink ref="M68" r:id="rId17" xr:uid="{65FEE44A-F907-4BC6-A506-A242E31D9C8B}"/>
  </hyperlinks>
  <pageMargins left="0.70000000000000007" right="0.70000000000000007" top="1.1811023622047245" bottom="1.1811023622047245" header="0.78740157480314954" footer="0.78740157480314954"/>
  <pageSetup paperSize="9" scale="10" orientation="portrait" r:id="rId18"/>
  <headerFooter alignWithMargins="0"/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Sauter</dc:creator>
  <cp:lastModifiedBy>41765</cp:lastModifiedBy>
  <cp:lastPrinted>2020-03-28T11:21:24Z</cp:lastPrinted>
  <dcterms:created xsi:type="dcterms:W3CDTF">2017-05-13T07:45:47Z</dcterms:created>
  <dcterms:modified xsi:type="dcterms:W3CDTF">2020-07-17T16:02:26Z</dcterms:modified>
</cp:coreProperties>
</file>